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dc2e1746f8dab3/Quiet Water/Reserve studies/2022/"/>
    </mc:Choice>
  </mc:AlternateContent>
  <xr:revisionPtr revIDLastSave="1" documentId="14_{F9632C8E-A9BE-466C-BF97-01E3133482DE}" xr6:coauthVersionLast="47" xr6:coauthVersionMax="47" xr10:uidLastSave="{9A88B058-CAAE-4B92-A0FE-CD5C1C563AC4}"/>
  <bookViews>
    <workbookView xWindow="-110" yWindow="-110" windowWidth="22780" windowHeight="14660" tabRatio="655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8" l="1"/>
  <c r="J11" i="6"/>
  <c r="K11" i="6"/>
  <c r="L11" i="6"/>
  <c r="M11" i="6"/>
  <c r="N11" i="6"/>
  <c r="O11" i="6"/>
  <c r="P11" i="6"/>
  <c r="Q11" i="6"/>
  <c r="R11" i="6"/>
  <c r="I11" i="6"/>
  <c r="J11" i="4"/>
  <c r="K11" i="4"/>
  <c r="L11" i="4"/>
  <c r="M11" i="4"/>
  <c r="N11" i="4"/>
  <c r="O11" i="4"/>
  <c r="P11" i="4"/>
  <c r="Q11" i="4"/>
  <c r="R11" i="4"/>
  <c r="I11" i="4"/>
  <c r="J12" i="3"/>
  <c r="K12" i="3"/>
  <c r="L12" i="3"/>
  <c r="M12" i="3"/>
  <c r="N12" i="3"/>
  <c r="O12" i="3"/>
  <c r="P12" i="3"/>
  <c r="Q12" i="3"/>
  <c r="R12" i="3"/>
  <c r="I12" i="3"/>
  <c r="I14" i="3"/>
  <c r="H23" i="8"/>
  <c r="K1" i="2"/>
  <c r="J1" i="8"/>
  <c r="J1" i="3"/>
  <c r="H30" i="2"/>
  <c r="H29" i="8"/>
  <c r="H28" i="8"/>
  <c r="P28" i="8" s="1"/>
  <c r="D41" i="1" l="1"/>
  <c r="L1" i="8"/>
  <c r="G5" i="8" s="1"/>
  <c r="G11" i="8" s="1"/>
  <c r="H11" i="8" s="1"/>
  <c r="H16" i="7"/>
  <c r="H18" i="6"/>
  <c r="H22" i="4"/>
  <c r="H23" i="3"/>
  <c r="G18" i="8" l="1"/>
  <c r="G13" i="8"/>
  <c r="G10" i="8"/>
  <c r="G17" i="8"/>
  <c r="G12" i="8"/>
  <c r="G16" i="8"/>
  <c r="G14" i="8"/>
  <c r="H14" i="8" s="1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C12" i="2"/>
  <c r="E12" i="2" s="1"/>
  <c r="D30" i="1" l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L12" i="8"/>
  <c r="M12" i="8"/>
  <c r="J23" i="3"/>
  <c r="K13" i="8"/>
  <c r="M14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I20" i="8"/>
  <c r="H21" i="8"/>
  <c r="H20" i="8"/>
  <c r="N20" i="8"/>
  <c r="O14" i="8"/>
  <c r="O13" i="8"/>
  <c r="O11" i="8"/>
  <c r="O10" i="8"/>
  <c r="O18" i="8"/>
  <c r="O17" i="8"/>
  <c r="O16" i="8"/>
  <c r="P4" i="8"/>
  <c r="P12" i="8" s="1"/>
  <c r="H26" i="8" l="1"/>
  <c r="H24" i="8"/>
  <c r="H25" i="8" s="1"/>
  <c r="L23" i="8"/>
  <c r="M23" i="3"/>
  <c r="N21" i="8"/>
  <c r="M21" i="8"/>
  <c r="K21" i="8"/>
  <c r="K26" i="8" s="1"/>
  <c r="J21" i="8"/>
  <c r="I21" i="8"/>
  <c r="L21" i="8"/>
  <c r="P14" i="8"/>
  <c r="P10" i="8"/>
  <c r="P13" i="8"/>
  <c r="P11" i="8"/>
  <c r="P18" i="8"/>
  <c r="P17" i="8"/>
  <c r="P16" i="8"/>
  <c r="Q4" i="8"/>
  <c r="Q12" i="8" s="1"/>
  <c r="O20" i="8"/>
  <c r="K24" i="8" l="1"/>
  <c r="K25" i="8" s="1"/>
  <c r="J26" i="8"/>
  <c r="J24" i="8"/>
  <c r="J25" i="8" s="1"/>
  <c r="I24" i="8"/>
  <c r="I25" i="8" s="1"/>
  <c r="I26" i="8"/>
  <c r="L26" i="8"/>
  <c r="L24" i="8"/>
  <c r="L25" i="8" s="1"/>
  <c r="M23" i="8"/>
  <c r="N23" i="3"/>
  <c r="O21" i="8"/>
  <c r="P20" i="8"/>
  <c r="Q14" i="8"/>
  <c r="Q11" i="8"/>
  <c r="Q13" i="8"/>
  <c r="Q10" i="8"/>
  <c r="Q18" i="8"/>
  <c r="Q17" i="8"/>
  <c r="Q16" i="8"/>
  <c r="R4" i="8"/>
  <c r="R12" i="8" s="1"/>
  <c r="M24" i="8" l="1"/>
  <c r="M25" i="8" s="1"/>
  <c r="M26" i="8"/>
  <c r="N23" i="8"/>
  <c r="O23" i="3"/>
  <c r="P21" i="8"/>
  <c r="Q20" i="8"/>
  <c r="R14" i="8"/>
  <c r="R13" i="8"/>
  <c r="R11" i="8"/>
  <c r="R10" i="8"/>
  <c r="R18" i="8"/>
  <c r="R17" i="8"/>
  <c r="R16" i="8"/>
  <c r="N26" i="8" l="1"/>
  <c r="N24" i="8"/>
  <c r="N25" i="8" s="1"/>
  <c r="O23" i="8"/>
  <c r="P23" i="3"/>
  <c r="Q21" i="8"/>
  <c r="R20" i="8"/>
  <c r="O26" i="8" l="1"/>
  <c r="O24" i="8"/>
  <c r="O25" i="8" s="1"/>
  <c r="P23" i="8"/>
  <c r="Q23" i="3"/>
  <c r="R21" i="8"/>
  <c r="P26" i="8" l="1"/>
  <c r="P24" i="8"/>
  <c r="P25" i="8" s="1"/>
  <c r="Q23" i="8"/>
  <c r="R23" i="3"/>
  <c r="Q24" i="8" l="1"/>
  <c r="Q25" i="8" s="1"/>
  <c r="Q26" i="8"/>
  <c r="R23" i="8"/>
  <c r="R26" i="8" l="1"/>
  <c r="R24" i="8"/>
  <c r="R25" i="8" s="1"/>
  <c r="I23" i="7"/>
  <c r="O23" i="7" s="1"/>
  <c r="I16" i="7" s="1"/>
  <c r="M1" i="7"/>
  <c r="G5" i="7" s="1"/>
  <c r="K1" i="7"/>
  <c r="M4" i="7"/>
  <c r="G11" i="7" l="1"/>
  <c r="J11" i="7" s="1"/>
  <c r="G9" i="7"/>
  <c r="H9" i="7" s="1"/>
  <c r="G10" i="7"/>
  <c r="I10" i="7" s="1"/>
  <c r="I5" i="7"/>
  <c r="J5" i="7" s="1"/>
  <c r="K5" i="7" s="1"/>
  <c r="L5" i="7" s="1"/>
  <c r="M5" i="7" s="1"/>
  <c r="N5" i="7" s="1"/>
  <c r="O5" i="7" s="1"/>
  <c r="P5" i="7" s="1"/>
  <c r="Q5" i="7" s="1"/>
  <c r="R5" i="7" s="1"/>
  <c r="J16" i="7"/>
  <c r="N4" i="7"/>
  <c r="N9" i="7" l="1"/>
  <c r="K11" i="7"/>
  <c r="I11" i="7"/>
  <c r="I9" i="7"/>
  <c r="K9" i="7"/>
  <c r="L9" i="7"/>
  <c r="J9" i="7"/>
  <c r="M9" i="7"/>
  <c r="K16" i="7"/>
  <c r="N11" i="7"/>
  <c r="H10" i="7"/>
  <c r="L10" i="7"/>
  <c r="K10" i="7"/>
  <c r="N10" i="7"/>
  <c r="J10" i="7"/>
  <c r="M10" i="7"/>
  <c r="L11" i="7"/>
  <c r="H11" i="7"/>
  <c r="M11" i="7"/>
  <c r="K13" i="7"/>
  <c r="O4" i="7"/>
  <c r="O9" i="7" s="1"/>
  <c r="I13" i="7" l="1"/>
  <c r="N13" i="7"/>
  <c r="N14" i="7" s="1"/>
  <c r="J13" i="7"/>
  <c r="J14" i="7" s="1"/>
  <c r="L16" i="7"/>
  <c r="K19" i="7"/>
  <c r="H13" i="7"/>
  <c r="H14" i="7" s="1"/>
  <c r="M13" i="7"/>
  <c r="M14" i="7" s="1"/>
  <c r="L13" i="7"/>
  <c r="L14" i="7" s="1"/>
  <c r="K14" i="7"/>
  <c r="K17" i="7" s="1"/>
  <c r="K18" i="7" s="1"/>
  <c r="I14" i="7"/>
  <c r="P4" i="7"/>
  <c r="P9" i="7" s="1"/>
  <c r="O11" i="7"/>
  <c r="O10" i="7"/>
  <c r="I19" i="7" l="1"/>
  <c r="I17" i="7"/>
  <c r="I18" i="7" s="1"/>
  <c r="J17" i="7"/>
  <c r="J18" i="7" s="1"/>
  <c r="J19" i="7"/>
  <c r="H19" i="7"/>
  <c r="H17" i="7"/>
  <c r="H18" i="7" s="1"/>
  <c r="M16" i="7"/>
  <c r="L17" i="7"/>
  <c r="L18" i="7" s="1"/>
  <c r="L19" i="7"/>
  <c r="O13" i="7"/>
  <c r="O14" i="7" s="1"/>
  <c r="Q4" i="7"/>
  <c r="Q9" i="7" s="1"/>
  <c r="P11" i="7"/>
  <c r="P10" i="7"/>
  <c r="N16" i="7" l="1"/>
  <c r="M19" i="7"/>
  <c r="M17" i="7"/>
  <c r="M18" i="7" s="1"/>
  <c r="P13" i="7"/>
  <c r="P14" i="7" s="1"/>
  <c r="R4" i="7"/>
  <c r="R9" i="7" s="1"/>
  <c r="Q10" i="7"/>
  <c r="Q11" i="7"/>
  <c r="O16" i="7" l="1"/>
  <c r="N17" i="7"/>
  <c r="N18" i="7" s="1"/>
  <c r="N19" i="7"/>
  <c r="Q13" i="7"/>
  <c r="Q14" i="7" s="1"/>
  <c r="R10" i="7"/>
  <c r="R11" i="7"/>
  <c r="P16" i="7" l="1"/>
  <c r="O17" i="7"/>
  <c r="O18" i="7" s="1"/>
  <c r="O19" i="7"/>
  <c r="R13" i="7"/>
  <c r="R14" i="7" s="1"/>
  <c r="Q16" i="7" l="1"/>
  <c r="P19" i="7"/>
  <c r="P17" i="7"/>
  <c r="P18" i="7" s="1"/>
  <c r="R16" i="7" l="1"/>
  <c r="Q19" i="7"/>
  <c r="Q17" i="7"/>
  <c r="Q18" i="7" s="1"/>
  <c r="R19" i="7" l="1"/>
  <c r="R17" i="7"/>
  <c r="R18" i="7" s="1"/>
  <c r="H26" i="6"/>
  <c r="N26" i="6" s="1"/>
  <c r="I18" i="6" s="1"/>
  <c r="D39" i="2"/>
  <c r="E12" i="6"/>
  <c r="E11" i="6"/>
  <c r="E10" i="6"/>
  <c r="E9" i="6"/>
  <c r="M1" i="6"/>
  <c r="G5" i="6" s="1"/>
  <c r="K1" i="6"/>
  <c r="M4" i="6"/>
  <c r="G13" i="6" l="1"/>
  <c r="J13" i="6" s="1"/>
  <c r="G9" i="6"/>
  <c r="M9" i="6" s="1"/>
  <c r="G12" i="6"/>
  <c r="M12" i="6" s="1"/>
  <c r="G10" i="6"/>
  <c r="G11" i="6"/>
  <c r="H11" i="6" s="1"/>
  <c r="J18" i="6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I9" i="6"/>
  <c r="M10" i="6"/>
  <c r="N4" i="6"/>
  <c r="H9" i="6" l="1"/>
  <c r="I13" i="6"/>
  <c r="K18" i="6"/>
  <c r="I12" i="6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L18" i="6" l="1"/>
  <c r="J15" i="6"/>
  <c r="J16" i="6" s="1"/>
  <c r="I15" i="6"/>
  <c r="H15" i="6"/>
  <c r="H16" i="6" s="1"/>
  <c r="N15" i="6"/>
  <c r="N16" i="6" s="1"/>
  <c r="K15" i="6"/>
  <c r="K16" i="6" s="1"/>
  <c r="K21" i="6" s="1"/>
  <c r="L15" i="6"/>
  <c r="L16" i="6" s="1"/>
  <c r="M16" i="6"/>
  <c r="O9" i="6"/>
  <c r="O13" i="6"/>
  <c r="O12" i="6"/>
  <c r="O10" i="6"/>
  <c r="P4" i="6"/>
  <c r="J19" i="6" l="1"/>
  <c r="J20" i="6" s="1"/>
  <c r="J21" i="6"/>
  <c r="K19" i="6"/>
  <c r="K20" i="6" s="1"/>
  <c r="H19" i="6"/>
  <c r="H20" i="6" s="1"/>
  <c r="H21" i="6"/>
  <c r="M18" i="6"/>
  <c r="L21" i="6"/>
  <c r="L19" i="6"/>
  <c r="L20" i="6" s="1"/>
  <c r="I16" i="6"/>
  <c r="O15" i="6"/>
  <c r="O16" i="6" s="1"/>
  <c r="P9" i="6"/>
  <c r="P13" i="6"/>
  <c r="P10" i="6"/>
  <c r="P12" i="6"/>
  <c r="Q4" i="6"/>
  <c r="I19" i="6" l="1"/>
  <c r="I20" i="6" s="1"/>
  <c r="I21" i="6"/>
  <c r="N18" i="6"/>
  <c r="M19" i="6"/>
  <c r="M20" i="6" s="1"/>
  <c r="M21" i="6"/>
  <c r="P15" i="6"/>
  <c r="P16" i="6" s="1"/>
  <c r="Q9" i="6"/>
  <c r="Q13" i="6"/>
  <c r="Q12" i="6"/>
  <c r="Q10" i="6"/>
  <c r="R4" i="6"/>
  <c r="O18" i="6" l="1"/>
  <c r="N19" i="6"/>
  <c r="N20" i="6" s="1"/>
  <c r="N21" i="6"/>
  <c r="Q15" i="6"/>
  <c r="Q16" i="6" s="1"/>
  <c r="R9" i="6"/>
  <c r="R13" i="6"/>
  <c r="R12" i="6"/>
  <c r="R10" i="6"/>
  <c r="P18" i="6" l="1"/>
  <c r="O21" i="6"/>
  <c r="O19" i="6"/>
  <c r="O20" i="6" s="1"/>
  <c r="R15" i="6"/>
  <c r="Q18" i="6" l="1"/>
  <c r="P21" i="6"/>
  <c r="P19" i="6"/>
  <c r="P20" i="6" s="1"/>
  <c r="R16" i="6"/>
  <c r="R18" i="6" l="1"/>
  <c r="Q21" i="6"/>
  <c r="Q19" i="6"/>
  <c r="Q20" i="6" s="1"/>
  <c r="R19" i="6" l="1"/>
  <c r="R20" i="6" s="1"/>
  <c r="R21" i="6"/>
  <c r="N1" i="4" l="1"/>
  <c r="G5" i="4" s="1"/>
  <c r="L1" i="4"/>
  <c r="E12" i="4"/>
  <c r="E11" i="4"/>
  <c r="E10" i="4"/>
  <c r="E9" i="4"/>
  <c r="P28" i="4"/>
  <c r="I22" i="4" s="1"/>
  <c r="L1" i="3"/>
  <c r="G5" i="3" s="1"/>
  <c r="M1" i="2"/>
  <c r="G5" i="2" s="1"/>
  <c r="G9" i="2" s="1"/>
  <c r="M4" i="4"/>
  <c r="G17" i="4" l="1"/>
  <c r="G12" i="4"/>
  <c r="G10" i="4"/>
  <c r="G13" i="4"/>
  <c r="I13" i="4" s="1"/>
  <c r="G16" i="4"/>
  <c r="G11" i="4"/>
  <c r="G15" i="4"/>
  <c r="G9" i="4"/>
  <c r="K9" i="4" s="1"/>
  <c r="G18" i="3"/>
  <c r="G13" i="3"/>
  <c r="G16" i="3"/>
  <c r="G14" i="3"/>
  <c r="G17" i="3"/>
  <c r="G12" i="3"/>
  <c r="G11" i="3"/>
  <c r="G10" i="3"/>
  <c r="G25" i="2"/>
  <c r="G16" i="2"/>
  <c r="G11" i="2"/>
  <c r="G18" i="2"/>
  <c r="G17" i="2"/>
  <c r="G19" i="2"/>
  <c r="G15" i="2"/>
  <c r="G10" i="2"/>
  <c r="G14" i="2"/>
  <c r="G12" i="2"/>
  <c r="G21" i="2"/>
  <c r="G23" i="2"/>
  <c r="G22" i="2"/>
  <c r="G24" i="2"/>
  <c r="M15" i="4"/>
  <c r="J22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l="1"/>
  <c r="L18" i="2"/>
  <c r="J18" i="2"/>
  <c r="H18" i="2"/>
  <c r="I18" i="2"/>
  <c r="K18" i="2"/>
  <c r="L16" i="3"/>
  <c r="I16" i="3"/>
  <c r="J16" i="3"/>
  <c r="K16" i="3"/>
  <c r="I15" i="4"/>
  <c r="K15" i="4"/>
  <c r="J15" i="4"/>
  <c r="H15" i="4"/>
  <c r="L15" i="4"/>
  <c r="K22" i="4"/>
  <c r="O4" i="4"/>
  <c r="K13" i="4"/>
  <c r="J13" i="4"/>
  <c r="L13" i="4"/>
  <c r="K17" i="4"/>
  <c r="M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O17" i="4" l="1"/>
  <c r="L22" i="4"/>
  <c r="P16" i="4"/>
  <c r="P17" i="4"/>
  <c r="O13" i="4"/>
  <c r="O15" i="4"/>
  <c r="P15" i="4"/>
  <c r="K19" i="4"/>
  <c r="K20" i="4" s="1"/>
  <c r="K25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P13" i="4"/>
  <c r="P9" i="4"/>
  <c r="P10" i="4"/>
  <c r="P12" i="4"/>
  <c r="Q4" i="4"/>
  <c r="O19" i="4" l="1"/>
  <c r="O20" i="4" s="1"/>
  <c r="K23" i="4"/>
  <c r="K24" i="4" s="1"/>
  <c r="I23" i="4"/>
  <c r="I25" i="4"/>
  <c r="J25" i="4"/>
  <c r="J23" i="4"/>
  <c r="J24" i="4" s="1"/>
  <c r="M22" i="4"/>
  <c r="L25" i="4"/>
  <c r="L23" i="4"/>
  <c r="L24" i="4" s="1"/>
  <c r="Q15" i="4"/>
  <c r="Q17" i="4"/>
  <c r="Q16" i="4"/>
  <c r="P19" i="4"/>
  <c r="P20" i="4" s="1"/>
  <c r="H20" i="4"/>
  <c r="I24" i="4"/>
  <c r="Q10" i="4"/>
  <c r="Q13" i="4"/>
  <c r="Q12" i="4"/>
  <c r="Q9" i="4"/>
  <c r="R4" i="4"/>
  <c r="H23" i="4" l="1"/>
  <c r="H24" i="4" s="1"/>
  <c r="H25" i="4"/>
  <c r="N22" i="4"/>
  <c r="M23" i="4"/>
  <c r="M24" i="4" s="1"/>
  <c r="M25" i="4"/>
  <c r="R15" i="4"/>
  <c r="R17" i="4"/>
  <c r="R16" i="4"/>
  <c r="Q19" i="4"/>
  <c r="Q20" i="4" s="1"/>
  <c r="R13" i="4"/>
  <c r="R10" i="4"/>
  <c r="R12" i="4"/>
  <c r="R9" i="4"/>
  <c r="O22" i="4" l="1"/>
  <c r="N25" i="4"/>
  <c r="N23" i="4"/>
  <c r="N24" i="4" s="1"/>
  <c r="R19" i="4"/>
  <c r="R20" i="4" s="1"/>
  <c r="P22" i="4" l="1"/>
  <c r="O25" i="4"/>
  <c r="O23" i="4"/>
  <c r="O24" i="4" s="1"/>
  <c r="Q22" i="4" l="1"/>
  <c r="P23" i="4"/>
  <c r="P24" i="4" s="1"/>
  <c r="P25" i="4"/>
  <c r="R22" i="4" l="1"/>
  <c r="Q23" i="4"/>
  <c r="Q25" i="4"/>
  <c r="Q24" i="4"/>
  <c r="R25" i="4" l="1"/>
  <c r="R23" i="4"/>
  <c r="R24" i="4" s="1"/>
  <c r="E13" i="3" l="1"/>
  <c r="E12" i="3"/>
  <c r="E11" i="3"/>
  <c r="E10" i="3"/>
  <c r="D35" i="2"/>
  <c r="I39" i="2"/>
  <c r="M4" i="3"/>
  <c r="M16" i="3" s="1"/>
  <c r="O39" i="2" l="1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L11" i="3" l="1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M11" i="3"/>
  <c r="M10" i="3"/>
  <c r="N14" i="3"/>
  <c r="O4" i="3"/>
  <c r="N13" i="3"/>
  <c r="N11" i="3"/>
  <c r="N18" i="3"/>
  <c r="N17" i="3"/>
  <c r="K20" i="3" l="1"/>
  <c r="O16" i="3"/>
  <c r="H20" i="3"/>
  <c r="H21" i="3"/>
  <c r="L20" i="3"/>
  <c r="J20" i="3"/>
  <c r="I20" i="3"/>
  <c r="M20" i="3"/>
  <c r="N20" i="3"/>
  <c r="O14" i="3"/>
  <c r="P4" i="3"/>
  <c r="O11" i="3"/>
  <c r="O13" i="3"/>
  <c r="O10" i="3"/>
  <c r="O17" i="3"/>
  <c r="O18" i="3"/>
  <c r="H26" i="3" l="1"/>
  <c r="H24" i="3"/>
  <c r="H25" i="3" s="1"/>
  <c r="K21" i="3"/>
  <c r="N21" i="3"/>
  <c r="L21" i="3"/>
  <c r="J21" i="3"/>
  <c r="M21" i="3"/>
  <c r="I21" i="3"/>
  <c r="P16" i="3"/>
  <c r="P14" i="3"/>
  <c r="Q4" i="3"/>
  <c r="P18" i="3"/>
  <c r="P11" i="3"/>
  <c r="P13" i="3"/>
  <c r="P10" i="3"/>
  <c r="P17" i="3"/>
  <c r="O20" i="3"/>
  <c r="M24" i="3" l="1"/>
  <c r="M25" i="3" s="1"/>
  <c r="M26" i="3"/>
  <c r="J26" i="3"/>
  <c r="J24" i="3"/>
  <c r="J25" i="3" s="1"/>
  <c r="K26" i="3"/>
  <c r="K24" i="3"/>
  <c r="K25" i="3" s="1"/>
  <c r="I24" i="3"/>
  <c r="I25" i="3" s="1"/>
  <c r="I26" i="3"/>
  <c r="L24" i="3"/>
  <c r="L25" i="3" s="1"/>
  <c r="L26" i="3"/>
  <c r="N24" i="3"/>
  <c r="N26" i="3"/>
  <c r="O21" i="3"/>
  <c r="Q16" i="3"/>
  <c r="P20" i="3"/>
  <c r="Q14" i="3"/>
  <c r="R4" i="3"/>
  <c r="Q10" i="3"/>
  <c r="Q18" i="3"/>
  <c r="Q17" i="3"/>
  <c r="Q11" i="3"/>
  <c r="Q13" i="3"/>
  <c r="O24" i="3" l="1"/>
  <c r="O26" i="3"/>
  <c r="P21" i="3"/>
  <c r="R16" i="3"/>
  <c r="R14" i="3"/>
  <c r="R13" i="3"/>
  <c r="R10" i="3"/>
  <c r="R11" i="3"/>
  <c r="R17" i="3"/>
  <c r="R18" i="3"/>
  <c r="Q20" i="3"/>
  <c r="N25" i="3"/>
  <c r="P24" i="3" l="1"/>
  <c r="P26" i="3"/>
  <c r="Q21" i="3"/>
  <c r="R20" i="3"/>
  <c r="O25" i="3"/>
  <c r="Q26" i="3" l="1"/>
  <c r="Q24" i="3"/>
  <c r="R21" i="3"/>
  <c r="P25" i="3"/>
  <c r="R24" i="3" l="1"/>
  <c r="R26" i="3"/>
  <c r="Q25" i="3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H31" i="2" l="1"/>
  <c r="H32" i="2" s="1"/>
  <c r="H33" i="2"/>
  <c r="O28" i="2"/>
  <c r="Q16" i="2"/>
  <c r="Q18" i="2"/>
  <c r="Q23" i="2"/>
  <c r="O27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J31" i="2" s="1"/>
  <c r="I33" i="2"/>
  <c r="I32" i="2"/>
  <c r="K30" i="2" l="1"/>
  <c r="K31" i="2" s="1"/>
  <c r="J32" i="2"/>
  <c r="J33" i="2"/>
  <c r="L30" i="2" l="1"/>
  <c r="L31" i="2" s="1"/>
  <c r="K32" i="2"/>
  <c r="K33" i="2"/>
  <c r="M30" i="2" l="1"/>
  <c r="M31" i="2" s="1"/>
  <c r="L32" i="2"/>
  <c r="L33" i="2"/>
  <c r="N30" i="2" l="1"/>
  <c r="N31" i="2" s="1"/>
  <c r="M32" i="2"/>
  <c r="M33" i="2"/>
  <c r="O30" i="2" l="1"/>
  <c r="O31" i="2" s="1"/>
  <c r="N32" i="2"/>
  <c r="N33" i="2"/>
  <c r="P30" i="2" l="1"/>
  <c r="P31" i="2" s="1"/>
  <c r="O32" i="2"/>
  <c r="O33" i="2"/>
  <c r="Q30" i="2" l="1"/>
  <c r="Q31" i="2" s="1"/>
  <c r="P32" i="2"/>
  <c r="P33" i="2"/>
  <c r="R30" i="2" l="1"/>
  <c r="R31" i="2" s="1"/>
  <c r="Q32" i="2"/>
  <c r="Q33" i="2"/>
  <c r="R32" i="2" l="1"/>
  <c r="R33" i="2"/>
</calcChain>
</file>

<file path=xl/sharedStrings.xml><?xml version="1.0" encoding="utf-8"?>
<sst xmlns="http://schemas.openxmlformats.org/spreadsheetml/2006/main" count="303" uniqueCount="134">
  <si>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</si>
  <si>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</si>
  <si>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</si>
  <si>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</si>
  <si>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</si>
  <si>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</si>
  <si>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</si>
  <si>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</si>
  <si>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</si>
  <si>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</si>
  <si>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</si>
  <si>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</si>
  <si>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</si>
  <si>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</si>
  <si>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</si>
  <si>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</si>
  <si>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</si>
  <si>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</si>
  <si>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</si>
  <si>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</si>
  <si>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</si>
  <si>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</si>
  <si>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</si>
  <si>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</si>
  <si>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</si>
  <si>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</si>
  <si>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</si>
  <si>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</si>
  <si>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</si>
  <si>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</si>
  <si>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</si>
  <si>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</si>
  <si>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</si>
  <si>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</si>
  <si>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</si>
  <si>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</si>
  <si>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</si>
  <si>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</si>
  <si>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</si>
  <si>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</si>
  <si>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</si>
  <si>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</si>
  <si>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</si>
  <si>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</si>
  <si>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</si>
  <si>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</si>
  <si>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</si>
  <si>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</si>
  <si>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</si>
  <si>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</si>
  <si>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</si>
  <si>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</si>
  <si>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</si>
  <si>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</si>
  <si>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</si>
  <si>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</si>
  <si>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</si>
  <si>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</si>
  <si>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</si>
  <si>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</si>
  <si>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</si>
  <si>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</si>
  <si>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</si>
  <si>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</si>
  <si>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</si>
  <si>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</si>
  <si>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</si>
  <si>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</si>
  <si>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</si>
  <si>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</si>
  <si>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</si>
  <si>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</si>
  <si>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</si>
  <si>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</si>
  <si>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</si>
  <si>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</si>
  <si>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</si>
  <si>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</si>
  <si>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</si>
  <si>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</si>
  <si>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</si>
  <si>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</si>
  <si>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</si>
  <si>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</si>
  <si>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</si>
  <si>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</si>
  <si>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</si>
  <si>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</si>
  <si>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</si>
  <si>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</si>
  <si>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</si>
  <si>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</si>
  <si>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</si>
  <si>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</si>
  <si>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</si>
  <si>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</si>
  <si>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</si>
  <si>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</si>
  <si>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</si>
  <si>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</si>
  <si>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</si>
  <si>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</si>
  <si>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</si>
  <si>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</si>
  <si>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</si>
  <si>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</si>
  <si>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</si>
  <si>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</si>
  <si>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LCA 1</t>
  </si>
  <si>
    <t>LCA 2</t>
  </si>
  <si>
    <t>LCA 4</t>
  </si>
  <si>
    <t>LCA 3 other</t>
  </si>
  <si>
    <t>Composite Roofing*:</t>
  </si>
  <si>
    <t>Gutters*: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</si>
  <si>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</si>
  <si>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</si>
  <si>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</si>
  <si>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</si>
  <si>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</si>
  <si>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</si>
  <si>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</si>
  <si>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</si>
  <si>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</si>
  <si>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</si>
  <si>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</si>
  <si>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</si>
  <si>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</si>
  <si>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>Month</t>
  </si>
  <si>
    <t>Annual expenses:</t>
  </si>
  <si>
    <t>credit</t>
  </si>
  <si>
    <t>Association, w house:</t>
  </si>
  <si>
    <t>*And replacing gutters is about $8/ft. Downspouts  about $100 each. Combining gutters and downspouts into one, suggest $11 per ft of gutter.</t>
  </si>
  <si>
    <t xml:space="preserve">*Revised costs, August 2018. Based on quotes from VMW Construction, replacing roofing and installing flashing and vapor barrier works out at $6/sq ft. 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</si>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</sst>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B1" workbookViewId="0">
      <selection activeCell="G10" sqref="G10"/>
    </sheetView>
  </sheetViews>
  <sheetFormatPr defaultRowHeight="14.5" x14ac:dyDescent="0.35"/>
  <cols>
    <col min="2" max="2" width="12.08984375" customWidth="1"/>
    <col min="4" max="4" width="11" bestFit="1" customWidth="1"/>
    <col min="8" max="8" width="10.36328125" customWidth="1"/>
    <col min="16" max="16" width="9.54296875" bestFit="1" customWidth="1"/>
    <col min="17" max="17" width="8.90625" style="1"/>
    <col min="19" max="19" width="9.54296875" bestFit="1" customWidth="1"/>
    <col min="20" max="20" width="9.54296875" style="1" bestFit="1" customWidth="1"/>
  </cols>
  <sheetData>
    <row r="1" spans="2:20" x14ac:dyDescent="0.35">
      <c r="C1" s="50" t="s">
        <v>0</v>
      </c>
      <c r="D1" s="50"/>
      <c r="E1" s="50"/>
      <c r="F1" s="50"/>
    </row>
    <row r="2" spans="2:20" x14ac:dyDescent="0.35">
      <c r="C2" s="50"/>
      <c r="D2" s="50"/>
      <c r="E2" s="50"/>
      <c r="F2" s="50"/>
    </row>
    <row r="4" spans="2:20" x14ac:dyDescent="0.35">
      <c r="B4" s="47" t="s">
        <v>1</v>
      </c>
      <c r="C4" s="47"/>
      <c r="D4" s="5">
        <v>2022</v>
      </c>
      <c r="F4" s="47" t="s">
        <v>127</v>
      </c>
      <c r="G4" s="47"/>
      <c r="H4" s="44" t="s">
        <v>133</v>
      </c>
    </row>
    <row r="6" spans="2:20" ht="18.5" x14ac:dyDescent="0.45">
      <c r="B6" s="51" t="s">
        <v>11</v>
      </c>
      <c r="C6" s="46"/>
      <c r="H6" s="32"/>
      <c r="I6" s="52" t="s">
        <v>99</v>
      </c>
      <c r="J6" s="52"/>
      <c r="K6" s="52"/>
      <c r="L6" s="52"/>
      <c r="Q6" s="1" t="s">
        <v>14</v>
      </c>
    </row>
    <row r="7" spans="2:20" ht="15" thickBot="1" x14ac:dyDescent="0.4">
      <c r="K7" t="s">
        <v>81</v>
      </c>
      <c r="L7" s="39" t="s">
        <v>64</v>
      </c>
      <c r="Q7" s="39" t="s">
        <v>114</v>
      </c>
      <c r="R7" s="1"/>
    </row>
    <row r="8" spans="2:20" ht="15" thickBot="1" x14ac:dyDescent="0.4">
      <c r="B8" s="47" t="s">
        <v>2</v>
      </c>
      <c r="C8" s="47"/>
      <c r="D8" s="3">
        <v>2</v>
      </c>
      <c r="E8" t="s">
        <v>5</v>
      </c>
      <c r="H8" s="47" t="s">
        <v>130</v>
      </c>
      <c r="I8" s="47"/>
      <c r="J8" s="48"/>
      <c r="K8" s="29">
        <v>220</v>
      </c>
      <c r="L8" s="29">
        <v>55</v>
      </c>
      <c r="Q8" s="29">
        <v>220</v>
      </c>
      <c r="R8" s="1"/>
      <c r="T8"/>
    </row>
    <row r="9" spans="2:20" ht="15" thickBot="1" x14ac:dyDescent="0.4">
      <c r="B9" s="47" t="s">
        <v>3</v>
      </c>
      <c r="C9" s="47"/>
      <c r="D9" s="3">
        <v>7.5</v>
      </c>
      <c r="E9" t="s">
        <v>6</v>
      </c>
      <c r="H9" s="47" t="s">
        <v>84</v>
      </c>
      <c r="I9" s="47"/>
      <c r="J9" s="48"/>
      <c r="K9" s="29">
        <v>110</v>
      </c>
      <c r="L9" s="29">
        <v>17</v>
      </c>
      <c r="Q9" s="29">
        <v>110</v>
      </c>
      <c r="R9" s="1"/>
      <c r="T9"/>
    </row>
    <row r="10" spans="2:20" ht="15" thickBot="1" x14ac:dyDescent="0.4">
      <c r="B10" s="47" t="s">
        <v>112</v>
      </c>
      <c r="C10" s="47"/>
      <c r="D10" s="3">
        <v>6</v>
      </c>
      <c r="E10" t="s">
        <v>6</v>
      </c>
      <c r="H10" s="43"/>
      <c r="I10" s="47" t="s">
        <v>62</v>
      </c>
      <c r="J10" s="48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4">
      <c r="B11" s="47" t="s">
        <v>113</v>
      </c>
      <c r="C11" s="47"/>
      <c r="D11" s="3">
        <v>11</v>
      </c>
      <c r="E11" t="s">
        <v>7</v>
      </c>
      <c r="I11" s="47" t="s">
        <v>102</v>
      </c>
      <c r="J11" s="48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4">
      <c r="B12" s="47" t="s">
        <v>89</v>
      </c>
      <c r="C12" s="47"/>
      <c r="D12" s="3">
        <v>14</v>
      </c>
      <c r="E12" t="s">
        <v>125</v>
      </c>
      <c r="J12" s="42" t="s">
        <v>95</v>
      </c>
      <c r="K12" s="29">
        <v>140</v>
      </c>
      <c r="L12" s="29">
        <v>2</v>
      </c>
      <c r="Q12" s="29">
        <v>140</v>
      </c>
      <c r="T12"/>
    </row>
    <row r="13" spans="2:20" ht="15" thickBot="1" x14ac:dyDescent="0.4">
      <c r="B13" s="47" t="s">
        <v>88</v>
      </c>
      <c r="C13" s="47"/>
      <c r="D13" s="3">
        <v>1.45</v>
      </c>
      <c r="E13" t="s">
        <v>5</v>
      </c>
      <c r="I13" s="47" t="s">
        <v>63</v>
      </c>
      <c r="J13" s="48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4">
      <c r="B14" s="47" t="s">
        <v>85</v>
      </c>
      <c r="C14" s="49"/>
      <c r="D14" s="3">
        <v>4</v>
      </c>
      <c r="E14" t="s">
        <v>5</v>
      </c>
      <c r="I14" s="47" t="s">
        <v>100</v>
      </c>
      <c r="J14" s="48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4">
      <c r="B15" s="47" t="s">
        <v>86</v>
      </c>
      <c r="C15" s="49"/>
      <c r="D15" s="5">
        <v>3000</v>
      </c>
      <c r="E15" t="s">
        <v>13</v>
      </c>
      <c r="G15" s="47" t="s">
        <v>96</v>
      </c>
      <c r="H15" s="47"/>
      <c r="I15" s="47"/>
      <c r="J15" s="48"/>
      <c r="K15" s="29">
        <v>9</v>
      </c>
      <c r="L15" s="29">
        <v>1</v>
      </c>
      <c r="M15" t="s">
        <v>105</v>
      </c>
      <c r="Q15" s="29">
        <v>9</v>
      </c>
      <c r="R15" s="1"/>
      <c r="T15"/>
    </row>
    <row r="16" spans="2:20" ht="15" thickBot="1" x14ac:dyDescent="0.4">
      <c r="B16" s="47" t="s">
        <v>83</v>
      </c>
      <c r="C16" s="47"/>
      <c r="D16" s="3">
        <v>9000</v>
      </c>
      <c r="E16" t="s">
        <v>13</v>
      </c>
      <c r="H16" s="47" t="s">
        <v>122</v>
      </c>
      <c r="I16" s="47"/>
      <c r="J16" s="48"/>
      <c r="K16" s="38">
        <v>20</v>
      </c>
      <c r="L16" s="29">
        <v>1</v>
      </c>
      <c r="M16" t="s">
        <v>106</v>
      </c>
      <c r="Q16" s="38">
        <v>20</v>
      </c>
      <c r="R16" s="1" t="s">
        <v>129</v>
      </c>
      <c r="T16"/>
    </row>
    <row r="17" spans="1:20" ht="15" thickBot="1" x14ac:dyDescent="0.4">
      <c r="B17" s="47" t="s">
        <v>12</v>
      </c>
      <c r="C17" s="47"/>
      <c r="D17" s="22">
        <v>1000</v>
      </c>
      <c r="E17" t="s">
        <v>13</v>
      </c>
      <c r="I17" s="47" t="s">
        <v>101</v>
      </c>
      <c r="J17" s="48"/>
      <c r="K17" s="29">
        <v>25</v>
      </c>
      <c r="L17" s="31">
        <v>1</v>
      </c>
      <c r="M17" t="s">
        <v>107</v>
      </c>
      <c r="Q17" s="29">
        <v>25</v>
      </c>
      <c r="R17" s="1"/>
      <c r="T17"/>
    </row>
    <row r="18" spans="1:20" x14ac:dyDescent="0.35">
      <c r="B18" s="47" t="s">
        <v>82</v>
      </c>
      <c r="C18" s="49"/>
      <c r="D18" s="22">
        <v>8000</v>
      </c>
      <c r="E18" t="s">
        <v>13</v>
      </c>
      <c r="K18" s="14"/>
      <c r="L18" s="14"/>
      <c r="Q18" s="14"/>
    </row>
    <row r="19" spans="1:20" x14ac:dyDescent="0.35">
      <c r="B19" s="47" t="s">
        <v>90</v>
      </c>
      <c r="C19" s="47"/>
      <c r="D19" s="3">
        <v>120</v>
      </c>
      <c r="E19" t="s">
        <v>13</v>
      </c>
      <c r="J19" s="2"/>
    </row>
    <row r="20" spans="1:20" x14ac:dyDescent="0.35">
      <c r="H20" s="40"/>
      <c r="I20" s="40"/>
      <c r="J20" s="2"/>
    </row>
    <row r="21" spans="1:20" x14ac:dyDescent="0.35">
      <c r="B21" s="2"/>
      <c r="C21" s="2"/>
      <c r="D21" s="4"/>
      <c r="H21" s="40"/>
      <c r="I21" s="40"/>
      <c r="J21" s="2"/>
    </row>
    <row r="22" spans="1:20" x14ac:dyDescent="0.35">
      <c r="B22" s="47" t="s">
        <v>8</v>
      </c>
      <c r="C22" s="47"/>
      <c r="D22" s="3">
        <v>1</v>
      </c>
      <c r="E22" t="s">
        <v>10</v>
      </c>
      <c r="H22" s="40"/>
      <c r="I22" s="40"/>
    </row>
    <row r="23" spans="1:20" x14ac:dyDescent="0.35">
      <c r="B23" s="47" t="s">
        <v>9</v>
      </c>
      <c r="C23" s="47"/>
      <c r="D23" s="3">
        <v>1</v>
      </c>
      <c r="E23" t="s">
        <v>10</v>
      </c>
      <c r="H23" s="40"/>
      <c r="I23" s="40"/>
    </row>
    <row r="24" spans="1:20" x14ac:dyDescent="0.35">
      <c r="I24" s="14"/>
      <c r="T24" s="1" t="s">
        <v>115</v>
      </c>
    </row>
    <row r="25" spans="1:20" x14ac:dyDescent="0.35">
      <c r="A25" s="47" t="s">
        <v>45</v>
      </c>
      <c r="B25" s="47"/>
      <c r="C25" s="47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5">
      <c r="A26" s="47" t="s">
        <v>47</v>
      </c>
      <c r="B26" s="47"/>
      <c r="C26" s="47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5">
      <c r="A27" s="47" t="s">
        <v>49</v>
      </c>
      <c r="B27" s="47"/>
      <c r="C27" s="47"/>
      <c r="D27" s="21">
        <v>9000</v>
      </c>
      <c r="E27" s="14"/>
      <c r="L27" s="2"/>
      <c r="M27" s="2"/>
      <c r="N27" s="2"/>
      <c r="T27" s="36"/>
    </row>
    <row r="28" spans="1:20" x14ac:dyDescent="0.35">
      <c r="A28" s="47" t="s">
        <v>51</v>
      </c>
      <c r="B28" s="47"/>
      <c r="C28" s="47"/>
      <c r="D28" s="21">
        <v>3000</v>
      </c>
      <c r="E28" s="14"/>
      <c r="L28" s="2"/>
      <c r="M28" s="2"/>
      <c r="N28" s="2"/>
      <c r="T28" s="36"/>
    </row>
    <row r="29" spans="1:20" x14ac:dyDescent="0.35">
      <c r="A29" s="47" t="s">
        <v>52</v>
      </c>
      <c r="B29" s="47"/>
      <c r="C29" s="47"/>
      <c r="D29" s="21">
        <v>10000</v>
      </c>
      <c r="E29" s="14"/>
      <c r="L29" s="2"/>
      <c r="T29" s="36"/>
    </row>
    <row r="30" spans="1:20" x14ac:dyDescent="0.35">
      <c r="A30" s="47" t="s">
        <v>53</v>
      </c>
      <c r="B30" s="47"/>
      <c r="C30" s="47"/>
      <c r="D30" s="15">
        <f>SUM(D25:D29)</f>
        <v>37150</v>
      </c>
      <c r="E30" s="15"/>
      <c r="L30" s="2"/>
      <c r="M30" s="2"/>
      <c r="N30" s="2"/>
      <c r="T30" s="36"/>
    </row>
    <row r="31" spans="1:20" x14ac:dyDescent="0.35">
      <c r="D31" s="14"/>
      <c r="L31" s="2"/>
      <c r="M31" s="2"/>
      <c r="N31" s="2"/>
    </row>
    <row r="32" spans="1:20" x14ac:dyDescent="0.35">
      <c r="B32" s="46" t="s">
        <v>118</v>
      </c>
      <c r="C32" s="46"/>
      <c r="D32" s="46"/>
      <c r="L32" s="2"/>
      <c r="M32" s="2"/>
      <c r="N32" s="2"/>
      <c r="O32" s="36"/>
    </row>
    <row r="33" spans="2:19" x14ac:dyDescent="0.35">
      <c r="B33" s="45" t="s">
        <v>116</v>
      </c>
      <c r="C33" s="45"/>
      <c r="D33" s="15">
        <v>67064</v>
      </c>
      <c r="L33" s="2"/>
      <c r="M33" s="2"/>
      <c r="N33" s="2"/>
    </row>
    <row r="34" spans="2:19" x14ac:dyDescent="0.35">
      <c r="B34" s="45" t="s">
        <v>108</v>
      </c>
      <c r="C34" s="45"/>
      <c r="D34" s="15">
        <v>30687</v>
      </c>
      <c r="O34" s="35"/>
      <c r="S34" s="37"/>
    </row>
    <row r="35" spans="2:19" x14ac:dyDescent="0.35">
      <c r="B35" s="45" t="s">
        <v>109</v>
      </c>
      <c r="C35" s="45"/>
      <c r="D35" s="15">
        <v>20624</v>
      </c>
      <c r="P35" s="35"/>
    </row>
    <row r="36" spans="2:19" x14ac:dyDescent="0.35">
      <c r="B36" s="45" t="s">
        <v>117</v>
      </c>
      <c r="C36" s="45"/>
      <c r="D36" s="15">
        <v>1738</v>
      </c>
    </row>
    <row r="37" spans="2:19" x14ac:dyDescent="0.35">
      <c r="B37" s="45" t="s">
        <v>111</v>
      </c>
      <c r="C37" s="45"/>
      <c r="D37" s="15">
        <v>5811</v>
      </c>
    </row>
    <row r="38" spans="2:19" x14ac:dyDescent="0.35">
      <c r="B38" s="45" t="s">
        <v>110</v>
      </c>
      <c r="C38" s="45"/>
      <c r="D38" s="15">
        <v>6020</v>
      </c>
      <c r="K38" s="10"/>
    </row>
    <row r="39" spans="2:19" x14ac:dyDescent="0.35">
      <c r="B39" s="45" t="s">
        <v>120</v>
      </c>
      <c r="C39" s="45"/>
      <c r="D39" s="15">
        <v>899</v>
      </c>
      <c r="G39" s="1"/>
      <c r="H39" s="1"/>
      <c r="K39" s="10"/>
    </row>
    <row r="40" spans="2:19" x14ac:dyDescent="0.35">
      <c r="B40" s="41"/>
      <c r="C40" s="41"/>
      <c r="D40" s="15"/>
      <c r="G40" s="1"/>
      <c r="H40" s="1"/>
      <c r="K40" s="10"/>
    </row>
    <row r="41" spans="2:19" x14ac:dyDescent="0.35">
      <c r="B41" s="45" t="s">
        <v>121</v>
      </c>
      <c r="C41" s="45"/>
      <c r="D41" s="15">
        <f>SUM(D33:D40)</f>
        <v>132843</v>
      </c>
      <c r="G41" s="1"/>
      <c r="H41" s="1"/>
      <c r="K41" s="10"/>
    </row>
    <row r="43" spans="2:19" x14ac:dyDescent="0.35">
      <c r="B43" t="s">
        <v>132</v>
      </c>
    </row>
    <row r="44" spans="2:19" x14ac:dyDescent="0.35">
      <c r="B44" t="s">
        <v>131</v>
      </c>
    </row>
  </sheetData>
  <sheetProtection selectLockedCells="1"/>
  <mergeCells count="43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G15:J15"/>
    <mergeCell ref="B11:C11"/>
    <mergeCell ref="B12:C12"/>
    <mergeCell ref="B13:C13"/>
    <mergeCell ref="B15:C15"/>
    <mergeCell ref="I13:J13"/>
    <mergeCell ref="I14:J14"/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P3" sqref="P3"/>
    </sheetView>
  </sheetViews>
  <sheetFormatPr defaultRowHeight="14.5" x14ac:dyDescent="0.35"/>
  <sheetData>
    <row r="1" spans="1:19" ht="15" customHeight="1" x14ac:dyDescent="0.35">
      <c r="E1" s="50" t="s">
        <v>72</v>
      </c>
      <c r="F1" s="50"/>
      <c r="G1" s="50"/>
      <c r="H1" s="50"/>
      <c r="I1" s="50"/>
      <c r="J1" s="50"/>
      <c r="K1" s="57" t="str">
        <f>'Data input'!H4</f>
        <v>February</v>
      </c>
      <c r="L1" s="58"/>
      <c r="M1" s="50">
        <f>'Data input'!D4</f>
        <v>2022</v>
      </c>
      <c r="N1" s="17"/>
    </row>
    <row r="2" spans="1:19" ht="15" customHeight="1" x14ac:dyDescent="0.35">
      <c r="E2" s="50"/>
      <c r="F2" s="50"/>
      <c r="G2" s="50"/>
      <c r="H2" s="50"/>
      <c r="I2" s="50"/>
      <c r="J2" s="50"/>
      <c r="K2" s="58"/>
      <c r="L2" s="58"/>
      <c r="M2" s="50"/>
      <c r="N2" s="17"/>
    </row>
    <row r="4" spans="1:19" x14ac:dyDescent="0.35">
      <c r="B4" s="1"/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M1</f>
        <v>2022</v>
      </c>
      <c r="H5" s="54"/>
      <c r="I5" s="1">
        <f>G5+1</f>
        <v>2023</v>
      </c>
      <c r="J5" s="1">
        <f>1+I5</f>
        <v>2024</v>
      </c>
      <c r="K5" s="1">
        <f t="shared" ref="K5:R5" si="1">1+J5</f>
        <v>2025</v>
      </c>
      <c r="L5" s="1">
        <f t="shared" si="1"/>
        <v>2026</v>
      </c>
      <c r="M5" s="1">
        <f t="shared" si="1"/>
        <v>2027</v>
      </c>
      <c r="N5" s="1">
        <f t="shared" si="1"/>
        <v>2028</v>
      </c>
      <c r="O5" s="1">
        <f t="shared" si="1"/>
        <v>2029</v>
      </c>
      <c r="P5" s="1">
        <f t="shared" si="1"/>
        <v>2030</v>
      </c>
      <c r="Q5" s="1">
        <f t="shared" si="1"/>
        <v>2031</v>
      </c>
      <c r="R5" s="1">
        <f t="shared" si="1"/>
        <v>2032</v>
      </c>
      <c r="S5" s="1"/>
    </row>
    <row r="6" spans="1:19" x14ac:dyDescent="0.35">
      <c r="A6" s="6"/>
      <c r="B6" s="1"/>
      <c r="C6" s="55" t="s">
        <v>15</v>
      </c>
      <c r="D6" s="55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x14ac:dyDescent="0.35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9" x14ac:dyDescent="0.35"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53" t="s">
        <v>24</v>
      </c>
      <c r="B9" s="53"/>
      <c r="C9" s="27">
        <f>'Data input'!D17</f>
        <v>1000</v>
      </c>
      <c r="D9" s="8" t="s">
        <v>87</v>
      </c>
      <c r="E9" s="28">
        <f>C9</f>
        <v>1000</v>
      </c>
      <c r="F9" s="11">
        <v>30</v>
      </c>
      <c r="G9" s="9">
        <f>0+$G$5-2019</f>
        <v>3</v>
      </c>
      <c r="H9" s="23">
        <f>(E9*G9/F9)</f>
        <v>100</v>
      </c>
      <c r="I9" s="10">
        <f>($E$9*($G$9+I4)/$F$9)</f>
        <v>133.33333333333334</v>
      </c>
      <c r="J9" s="10">
        <f t="shared" ref="J9:R9" si="2">($E$9*($G$9+J4)/$F$9)</f>
        <v>166.66666666666666</v>
      </c>
      <c r="K9" s="10">
        <f t="shared" si="2"/>
        <v>200</v>
      </c>
      <c r="L9" s="10">
        <f t="shared" si="2"/>
        <v>233.33333333333334</v>
      </c>
      <c r="M9" s="10">
        <f t="shared" si="2"/>
        <v>266.66666666666669</v>
      </c>
      <c r="N9" s="10">
        <f t="shared" si="2"/>
        <v>300</v>
      </c>
      <c r="O9" s="10">
        <f t="shared" si="2"/>
        <v>333.33333333333331</v>
      </c>
      <c r="P9" s="10">
        <f t="shared" si="2"/>
        <v>366.66666666666669</v>
      </c>
      <c r="Q9" s="10">
        <f t="shared" si="2"/>
        <v>400</v>
      </c>
      <c r="R9" s="10">
        <f t="shared" si="2"/>
        <v>433.33333333333331</v>
      </c>
      <c r="S9" s="10"/>
    </row>
    <row r="10" spans="1:19" x14ac:dyDescent="0.35">
      <c r="A10" t="s">
        <v>25</v>
      </c>
      <c r="C10" s="27">
        <f>'Data input'!D18</f>
        <v>8000</v>
      </c>
      <c r="D10" t="s">
        <v>87</v>
      </c>
      <c r="E10" s="28">
        <f>C10</f>
        <v>8000</v>
      </c>
      <c r="F10" s="11">
        <v>30</v>
      </c>
      <c r="G10" s="9">
        <f>25+$G$5-2019</f>
        <v>28</v>
      </c>
      <c r="H10" s="23">
        <f>(E10*G10/F10)</f>
        <v>7466.666666666667</v>
      </c>
      <c r="I10" s="10">
        <f>($E$10*($G$10+I4)/$F$10)</f>
        <v>7733.333333333333</v>
      </c>
      <c r="J10" s="10">
        <f t="shared" ref="J10:R10" si="3">($E$10*($G$10+J4)/$F$10)</f>
        <v>8000</v>
      </c>
      <c r="K10" s="10">
        <f t="shared" si="3"/>
        <v>8266.6666666666661</v>
      </c>
      <c r="L10" s="10">
        <f t="shared" si="3"/>
        <v>8533.3333333333339</v>
      </c>
      <c r="M10" s="10">
        <f t="shared" si="3"/>
        <v>8800</v>
      </c>
      <c r="N10" s="10">
        <f t="shared" si="3"/>
        <v>9066.6666666666661</v>
      </c>
      <c r="O10" s="10">
        <f t="shared" si="3"/>
        <v>9333.3333333333339</v>
      </c>
      <c r="P10" s="10">
        <f t="shared" si="3"/>
        <v>9600</v>
      </c>
      <c r="Q10" s="10">
        <f t="shared" si="3"/>
        <v>9866.6666666666661</v>
      </c>
      <c r="R10" s="10">
        <f t="shared" si="3"/>
        <v>10133.333333333334</v>
      </c>
      <c r="S10" s="10"/>
    </row>
    <row r="11" spans="1:19" x14ac:dyDescent="0.35">
      <c r="A11" t="s">
        <v>92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38</v>
      </c>
      <c r="H11" s="23">
        <f t="shared" ref="H11:H25" si="4">(E11*G11/F11)</f>
        <v>38000</v>
      </c>
      <c r="I11" s="10">
        <f>($E$11*($G$11+I4)/$F$11)</f>
        <v>39000</v>
      </c>
      <c r="J11" s="10">
        <f t="shared" ref="J11:R11" si="5">($E$11*($G$11+J4)/$F$11)</f>
        <v>40000</v>
      </c>
      <c r="K11" s="10">
        <f t="shared" si="5"/>
        <v>41000</v>
      </c>
      <c r="L11" s="10">
        <f t="shared" si="5"/>
        <v>42000</v>
      </c>
      <c r="M11" s="10">
        <f t="shared" si="5"/>
        <v>43000</v>
      </c>
      <c r="N11" s="10">
        <f t="shared" si="5"/>
        <v>44000</v>
      </c>
      <c r="O11" s="10">
        <f t="shared" si="5"/>
        <v>45000</v>
      </c>
      <c r="P11" s="10">
        <f t="shared" si="5"/>
        <v>46000</v>
      </c>
      <c r="Q11" s="10">
        <f t="shared" si="5"/>
        <v>47000</v>
      </c>
      <c r="R11" s="10">
        <f t="shared" si="5"/>
        <v>48000</v>
      </c>
    </row>
    <row r="12" spans="1:19" x14ac:dyDescent="0.35">
      <c r="A12" t="s">
        <v>93</v>
      </c>
      <c r="C12" s="16">
        <f>'Data input'!D15</f>
        <v>3000</v>
      </c>
      <c r="D12" t="s">
        <v>87</v>
      </c>
      <c r="E12" s="11">
        <f>C12</f>
        <v>3000</v>
      </c>
      <c r="F12" s="11">
        <v>40</v>
      </c>
      <c r="G12" s="9">
        <f>35+$G$5-2019</f>
        <v>38</v>
      </c>
      <c r="H12" s="23">
        <f t="shared" si="4"/>
        <v>2850</v>
      </c>
      <c r="I12" s="10">
        <f>($E$12*($G$12+I4)/$F$12)</f>
        <v>2925</v>
      </c>
      <c r="J12" s="10">
        <f t="shared" ref="J12:R12" si="6">($E$12*($G$12+J4)/$F$12)</f>
        <v>3000</v>
      </c>
      <c r="K12" s="10">
        <f t="shared" si="6"/>
        <v>3075</v>
      </c>
      <c r="L12" s="10">
        <f t="shared" si="6"/>
        <v>3150</v>
      </c>
      <c r="M12" s="10">
        <f t="shared" si="6"/>
        <v>3225</v>
      </c>
      <c r="N12" s="10">
        <f t="shared" si="6"/>
        <v>3300</v>
      </c>
      <c r="O12" s="10">
        <f t="shared" si="6"/>
        <v>3375</v>
      </c>
      <c r="P12" s="10">
        <f t="shared" si="6"/>
        <v>3450</v>
      </c>
      <c r="Q12" s="10">
        <f t="shared" si="6"/>
        <v>3525</v>
      </c>
      <c r="R12" s="10">
        <f t="shared" si="6"/>
        <v>3600</v>
      </c>
    </row>
    <row r="13" spans="1:19" x14ac:dyDescent="0.35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5">
      <c r="A14" s="47" t="s">
        <v>28</v>
      </c>
      <c r="B14" s="47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15</v>
      </c>
      <c r="H14" s="23">
        <f>($E$14*$G$14/$F$14)</f>
        <v>6000</v>
      </c>
      <c r="I14" s="10">
        <f>($E$14*($G$14+I4)/$F$14)</f>
        <v>6400</v>
      </c>
      <c r="J14" s="10">
        <f t="shared" ref="J14:R14" si="7">($E$14*($G$14+J4)/$F$14)</f>
        <v>6800</v>
      </c>
      <c r="K14" s="10">
        <f t="shared" si="7"/>
        <v>7200</v>
      </c>
      <c r="L14" s="10">
        <f t="shared" si="7"/>
        <v>7600</v>
      </c>
      <c r="M14" s="10">
        <f t="shared" si="7"/>
        <v>8000</v>
      </c>
      <c r="N14" s="10">
        <f t="shared" si="7"/>
        <v>8400</v>
      </c>
      <c r="O14" s="10">
        <f t="shared" si="7"/>
        <v>8800</v>
      </c>
      <c r="P14" s="10">
        <f t="shared" si="7"/>
        <v>9200</v>
      </c>
      <c r="Q14" s="10">
        <f t="shared" si="7"/>
        <v>9600</v>
      </c>
      <c r="R14" s="10">
        <f t="shared" si="7"/>
        <v>10000</v>
      </c>
    </row>
    <row r="15" spans="1:19" x14ac:dyDescent="0.35">
      <c r="A15" s="47" t="s">
        <v>29</v>
      </c>
      <c r="B15" s="47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23</v>
      </c>
      <c r="H15" s="23">
        <f>($E$15*$G$15/$F$15)</f>
        <v>9108</v>
      </c>
      <c r="I15" s="10">
        <f>($E$15*($G$15+I4)/$F$15)</f>
        <v>9504</v>
      </c>
      <c r="J15" s="10">
        <f t="shared" ref="J15:R15" si="8">($E$15*($G$15+J4)/$F$15)</f>
        <v>9900</v>
      </c>
      <c r="K15" s="10">
        <f t="shared" si="8"/>
        <v>10296</v>
      </c>
      <c r="L15" s="10">
        <f t="shared" si="8"/>
        <v>10692</v>
      </c>
      <c r="M15" s="10">
        <f t="shared" si="8"/>
        <v>11088</v>
      </c>
      <c r="N15" s="10">
        <f t="shared" si="8"/>
        <v>11484</v>
      </c>
      <c r="O15" s="10">
        <f t="shared" si="8"/>
        <v>11880</v>
      </c>
      <c r="P15" s="10">
        <f t="shared" si="8"/>
        <v>12276</v>
      </c>
      <c r="Q15" s="10">
        <f t="shared" si="8"/>
        <v>12672</v>
      </c>
      <c r="R15" s="10">
        <f t="shared" si="8"/>
        <v>13068</v>
      </c>
    </row>
    <row r="16" spans="1:19" x14ac:dyDescent="0.35">
      <c r="A16" s="47" t="s">
        <v>30</v>
      </c>
      <c r="B16" s="47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4</v>
      </c>
      <c r="H16" s="23">
        <f>($E$16*$G$16/$F$16)</f>
        <v>1600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5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23</v>
      </c>
      <c r="H17" s="23">
        <f>($E$17*$G$17/$F$17)</f>
        <v>2024</v>
      </c>
      <c r="I17" s="10">
        <f>($E$17*($G$17+I4)/$F$17)</f>
        <v>2112</v>
      </c>
      <c r="J17" s="10">
        <f t="shared" ref="J17:R17" si="10">($E$17*($G$17+J4)/$F$17)</f>
        <v>2200</v>
      </c>
      <c r="K17" s="10">
        <f t="shared" si="10"/>
        <v>2288</v>
      </c>
      <c r="L17" s="10">
        <f t="shared" si="10"/>
        <v>2376</v>
      </c>
      <c r="M17" s="10">
        <f t="shared" si="10"/>
        <v>2464</v>
      </c>
      <c r="N17" s="10">
        <f t="shared" si="10"/>
        <v>2552</v>
      </c>
      <c r="O17" s="10">
        <f t="shared" si="10"/>
        <v>2640</v>
      </c>
      <c r="P17" s="10">
        <f t="shared" si="10"/>
        <v>2728</v>
      </c>
      <c r="Q17" s="10">
        <f t="shared" si="10"/>
        <v>2816</v>
      </c>
      <c r="R17" s="10">
        <f t="shared" si="10"/>
        <v>2904</v>
      </c>
    </row>
    <row r="18" spans="1:19" x14ac:dyDescent="0.35">
      <c r="B18" s="2" t="s">
        <v>32</v>
      </c>
      <c r="C18" s="16">
        <v>2500</v>
      </c>
      <c r="D18" t="s">
        <v>87</v>
      </c>
      <c r="E18" s="11">
        <f>C18</f>
        <v>2500</v>
      </c>
      <c r="F18" s="11">
        <v>40</v>
      </c>
      <c r="G18" s="9">
        <f>16+$G$5-2019</f>
        <v>19</v>
      </c>
      <c r="H18" s="23">
        <f>($E$18*$G$18/$F$18)</f>
        <v>1187.5</v>
      </c>
      <c r="I18" s="28">
        <f>($E$18*($G$18+I4)/$F$18)</f>
        <v>1250</v>
      </c>
      <c r="J18" s="28">
        <f t="shared" ref="J18:R18" si="11">($E$18*($G$18+J4)/$F$18)</f>
        <v>1312.5</v>
      </c>
      <c r="K18" s="28">
        <f t="shared" si="11"/>
        <v>1375</v>
      </c>
      <c r="L18" s="28">
        <f t="shared" si="11"/>
        <v>1437.5</v>
      </c>
      <c r="M18" s="28">
        <f t="shared" si="11"/>
        <v>1500</v>
      </c>
      <c r="N18" s="28">
        <f t="shared" si="11"/>
        <v>1562.5</v>
      </c>
      <c r="O18" s="28">
        <f t="shared" si="11"/>
        <v>1625</v>
      </c>
      <c r="P18" s="28">
        <f t="shared" si="11"/>
        <v>1687.5</v>
      </c>
      <c r="Q18" s="28">
        <f t="shared" si="11"/>
        <v>1750</v>
      </c>
      <c r="R18" s="28">
        <f t="shared" si="11"/>
        <v>1812.5</v>
      </c>
    </row>
    <row r="19" spans="1:19" x14ac:dyDescent="0.35">
      <c r="A19" t="s">
        <v>91</v>
      </c>
      <c r="C19" s="16">
        <v>9000</v>
      </c>
      <c r="D19" t="s">
        <v>87</v>
      </c>
      <c r="E19" s="11">
        <v>9000</v>
      </c>
      <c r="F19" s="11">
        <v>10</v>
      </c>
      <c r="G19" s="9">
        <f>1+$G$5-2019</f>
        <v>4</v>
      </c>
      <c r="H19" s="23">
        <f t="shared" si="4"/>
        <v>3600</v>
      </c>
      <c r="I19" s="10">
        <f>($E$19*($G$19+I4)/$F$19)</f>
        <v>4500</v>
      </c>
      <c r="J19" s="10">
        <f t="shared" ref="J19:R19" si="12">($E$19*($G$19+J4)/$F$19)</f>
        <v>5400</v>
      </c>
      <c r="K19" s="10">
        <f t="shared" si="12"/>
        <v>6300</v>
      </c>
      <c r="L19" s="10">
        <f t="shared" si="12"/>
        <v>7200</v>
      </c>
      <c r="M19" s="10">
        <f t="shared" si="12"/>
        <v>8100</v>
      </c>
      <c r="N19" s="10">
        <f t="shared" si="12"/>
        <v>9000</v>
      </c>
      <c r="O19" s="10">
        <f t="shared" si="12"/>
        <v>9900</v>
      </c>
      <c r="P19" s="10">
        <f t="shared" si="12"/>
        <v>10800</v>
      </c>
      <c r="Q19" s="10">
        <f t="shared" si="12"/>
        <v>11700</v>
      </c>
      <c r="R19" s="10">
        <f t="shared" si="12"/>
        <v>12600</v>
      </c>
    </row>
    <row r="20" spans="1:19" x14ac:dyDescent="0.35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5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15</v>
      </c>
      <c r="H21" s="23">
        <f>($E$21*$G$21/$F$21)</f>
        <v>1893.75</v>
      </c>
      <c r="I21" s="10">
        <f>($E$21*($G$21+I4)/$F$21)</f>
        <v>2020</v>
      </c>
      <c r="J21" s="10">
        <f t="shared" ref="J21:R21" si="13">($E$21*($G$21+J4)/$F$21)</f>
        <v>2146.25</v>
      </c>
      <c r="K21" s="10">
        <f t="shared" si="13"/>
        <v>2272.5</v>
      </c>
      <c r="L21" s="10">
        <f t="shared" si="13"/>
        <v>2398.75</v>
      </c>
      <c r="M21" s="10">
        <f t="shared" si="13"/>
        <v>2525</v>
      </c>
      <c r="N21" s="10">
        <f t="shared" si="13"/>
        <v>2651.25</v>
      </c>
      <c r="O21" s="10">
        <f t="shared" si="13"/>
        <v>2777.5</v>
      </c>
      <c r="P21" s="10">
        <f t="shared" si="13"/>
        <v>2903.75</v>
      </c>
      <c r="Q21" s="10">
        <f t="shared" si="13"/>
        <v>3030</v>
      </c>
      <c r="R21" s="10">
        <f t="shared" si="13"/>
        <v>3156.25</v>
      </c>
    </row>
    <row r="22" spans="1:19" x14ac:dyDescent="0.35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23</v>
      </c>
      <c r="H22" s="23">
        <f>($E$22*$G$22/$F$22)</f>
        <v>2622</v>
      </c>
      <c r="I22" s="10">
        <f>($E$22*($G$22+I4)/$F$22)</f>
        <v>2736</v>
      </c>
      <c r="J22" s="10">
        <f t="shared" ref="J22:R22" si="14">($E$22*($G$22+J4)/$F$22)</f>
        <v>2850</v>
      </c>
      <c r="K22" s="10">
        <f t="shared" si="14"/>
        <v>2964</v>
      </c>
      <c r="L22" s="10">
        <f t="shared" si="14"/>
        <v>3078</v>
      </c>
      <c r="M22" s="10">
        <f t="shared" si="14"/>
        <v>3192</v>
      </c>
      <c r="N22" s="10">
        <f t="shared" si="14"/>
        <v>3306</v>
      </c>
      <c r="O22" s="10">
        <f t="shared" si="14"/>
        <v>3420</v>
      </c>
      <c r="P22" s="10">
        <f t="shared" si="14"/>
        <v>3534</v>
      </c>
      <c r="Q22" s="10">
        <f t="shared" si="14"/>
        <v>3648</v>
      </c>
      <c r="R22" s="10">
        <f t="shared" si="14"/>
        <v>3762</v>
      </c>
    </row>
    <row r="23" spans="1:19" x14ac:dyDescent="0.35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4</v>
      </c>
      <c r="H23" s="23">
        <f>($E$23*$G$23/$F$23)</f>
        <v>505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5">
      <c r="A24" t="s">
        <v>36</v>
      </c>
      <c r="E24" s="11">
        <v>2000</v>
      </c>
      <c r="F24" s="11">
        <v>30</v>
      </c>
      <c r="G24" s="9">
        <f>25+$G$5-2019</f>
        <v>28</v>
      </c>
      <c r="H24" s="23">
        <f t="shared" si="4"/>
        <v>1866.6666666666667</v>
      </c>
      <c r="I24" s="10">
        <f t="shared" ref="I24:R24" si="16">($E$24*($G$24+I4)/$F$24)</f>
        <v>1933.3333333333333</v>
      </c>
      <c r="J24" s="10">
        <f t="shared" si="16"/>
        <v>2000</v>
      </c>
      <c r="K24" s="10">
        <f t="shared" si="16"/>
        <v>2066.6666666666665</v>
      </c>
      <c r="L24" s="10">
        <f t="shared" si="16"/>
        <v>2133.3333333333335</v>
      </c>
      <c r="M24" s="10">
        <f t="shared" si="16"/>
        <v>2200</v>
      </c>
      <c r="N24" s="10">
        <f t="shared" si="16"/>
        <v>2266.6666666666665</v>
      </c>
      <c r="O24" s="10">
        <f t="shared" si="16"/>
        <v>2333.3333333333335</v>
      </c>
      <c r="P24" s="10">
        <f t="shared" si="16"/>
        <v>2400</v>
      </c>
      <c r="Q24" s="10">
        <f t="shared" si="16"/>
        <v>2466.6666666666665</v>
      </c>
      <c r="R24" s="10">
        <f t="shared" si="16"/>
        <v>2533.3333333333335</v>
      </c>
      <c r="S24" s="10"/>
    </row>
    <row r="25" spans="1:19" x14ac:dyDescent="0.35">
      <c r="A25" t="s">
        <v>37</v>
      </c>
      <c r="E25" s="11">
        <v>12000</v>
      </c>
      <c r="F25" s="11">
        <v>10</v>
      </c>
      <c r="G25" s="9">
        <f>7+$G$5-2019</f>
        <v>10</v>
      </c>
      <c r="H25" s="23">
        <f t="shared" si="4"/>
        <v>12000</v>
      </c>
      <c r="I25" s="10">
        <f t="shared" ref="I25:R25" si="17">($E$25*($G$25+I4)/$F$25)</f>
        <v>13200</v>
      </c>
      <c r="J25" s="10">
        <f t="shared" si="17"/>
        <v>14400</v>
      </c>
      <c r="K25" s="10">
        <f t="shared" si="17"/>
        <v>15600</v>
      </c>
      <c r="L25" s="10">
        <f t="shared" si="17"/>
        <v>16800</v>
      </c>
      <c r="M25" s="10">
        <f t="shared" si="17"/>
        <v>18000</v>
      </c>
      <c r="N25" s="10">
        <f t="shared" si="17"/>
        <v>19200</v>
      </c>
      <c r="O25" s="10">
        <f t="shared" si="17"/>
        <v>20400</v>
      </c>
      <c r="P25" s="10">
        <f t="shared" si="17"/>
        <v>21600</v>
      </c>
      <c r="Q25" s="10">
        <f t="shared" si="17"/>
        <v>22800</v>
      </c>
      <c r="R25" s="10">
        <f t="shared" si="17"/>
        <v>24000</v>
      </c>
    </row>
    <row r="26" spans="1:19" x14ac:dyDescent="0.35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5">
      <c r="A27" t="s">
        <v>38</v>
      </c>
      <c r="H27" s="23">
        <f>SUM(H9:H25)</f>
        <v>90823.583333333328</v>
      </c>
      <c r="I27" s="10">
        <f t="shared" ref="I27:R27" si="18">SUM(I9:I25)</f>
        <v>93973.249999999985</v>
      </c>
      <c r="J27" s="10">
        <f t="shared" si="18"/>
        <v>99227.916666666657</v>
      </c>
      <c r="K27" s="10">
        <f t="shared" si="18"/>
        <v>104482.58333333333</v>
      </c>
      <c r="L27" s="10">
        <f t="shared" si="18"/>
        <v>109737.25</v>
      </c>
      <c r="M27" s="10">
        <f t="shared" si="18"/>
        <v>114991.91666666666</v>
      </c>
      <c r="N27" s="10">
        <f t="shared" si="18"/>
        <v>120246.58333333333</v>
      </c>
      <c r="O27" s="10">
        <f t="shared" si="18"/>
        <v>125501.25</v>
      </c>
      <c r="P27" s="10">
        <f t="shared" si="18"/>
        <v>130755.91666666666</v>
      </c>
      <c r="Q27" s="10">
        <f t="shared" si="18"/>
        <v>136010.58333333331</v>
      </c>
      <c r="R27" s="10">
        <f t="shared" si="18"/>
        <v>141265.25</v>
      </c>
    </row>
    <row r="28" spans="1:19" x14ac:dyDescent="0.35">
      <c r="A28" s="53" t="s">
        <v>39</v>
      </c>
      <c r="B28" s="53"/>
      <c r="C28" s="53"/>
      <c r="D28" s="53"/>
      <c r="H28" s="23">
        <f>SUM(H9:H25)</f>
        <v>90823.583333333328</v>
      </c>
      <c r="I28" s="10">
        <f>SUM(I9:I25)*(1+'Data input'!$D$23/100)^I4</f>
        <v>94912.982499999984</v>
      </c>
      <c r="J28" s="10">
        <f>SUM(J9:J25)*(1+'Data input'!$D$23/100)^J4</f>
        <v>101222.39779166666</v>
      </c>
      <c r="K28" s="10">
        <f>SUM(K9:K25)*(1+'Data input'!$D$23/100)^K4</f>
        <v>107648.51009091665</v>
      </c>
      <c r="L28" s="10">
        <f>SUM(L9:L25)*(1+'Data input'!$D$23/100)^L4</f>
        <v>114193.0223963725</v>
      </c>
      <c r="M28" s="10">
        <f>SUM(M9:M25)*(1+'Data input'!$D$23/100)^M4</f>
        <v>120857.66009692835</v>
      </c>
      <c r="N28" s="10">
        <f>SUM(N9:N25)*(1+'Data input'!$D$23/100)^N4</f>
        <v>127644.17124925571</v>
      </c>
      <c r="O28" s="10">
        <f>SUM(O9:O25)*(1+'Data input'!$D$23/100)^O4</f>
        <v>134554.32685861987</v>
      </c>
      <c r="P28" s="10">
        <f>SUM(P9:P25)*(1+'Data input'!$D$23/100)^P4</f>
        <v>141589.92116304644</v>
      </c>
      <c r="Q28" s="10">
        <f>SUM(Q9:Q25)*(1+'Data input'!$D$23/100)^Q4</f>
        <v>148752.77192087568</v>
      </c>
      <c r="R28" s="10">
        <f>SUM(R9:R25)*(1+'Data input'!$D$23/100)^R4</f>
        <v>156044.72070174519</v>
      </c>
      <c r="S28" s="10"/>
    </row>
    <row r="29" spans="1:19" x14ac:dyDescent="0.35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5">
      <c r="A30" t="s">
        <v>104</v>
      </c>
      <c r="G30" s="23"/>
      <c r="H30" s="23">
        <f>'Data input'!D33</f>
        <v>67064</v>
      </c>
      <c r="I30" s="10">
        <f>H30*(1+ 'Data input'!$D$22/100)+$O$39</f>
        <v>73339.64</v>
      </c>
      <c r="J30" s="10">
        <f>I30*(1+ 'Data input'!$D$22/100)+$O$39</f>
        <v>79678.036399999997</v>
      </c>
      <c r="K30" s="10">
        <f>J30*(1+ 'Data input'!$D$22/100)+$O$39</f>
        <v>86079.816764000003</v>
      </c>
      <c r="L30" s="10">
        <f>K30*(1+ 'Data input'!$D$22/100)+$O$39</f>
        <v>92545.614931639997</v>
      </c>
      <c r="M30" s="10">
        <f>L30*(1+ 'Data input'!$D$22/100)+$O$39</f>
        <v>99076.071080956404</v>
      </c>
      <c r="N30" s="10">
        <f>M30*(1+ 'Data input'!$D$22/100)+$O$39</f>
        <v>105671.83179176597</v>
      </c>
      <c r="O30" s="10">
        <f>N30*(1+ 'Data input'!$D$22/100)+$O$39</f>
        <v>112333.55010968364</v>
      </c>
      <c r="P30" s="10">
        <f>O30*(1+ 'Data input'!$D$22/100)+$O$39</f>
        <v>119061.88561078047</v>
      </c>
      <c r="Q30" s="10">
        <f>P30*(1+ 'Data input'!$D$22/100)+$O$39</f>
        <v>125857.50446688828</v>
      </c>
      <c r="R30" s="10">
        <f>Q30*(1+ 'Data input'!$D$22/100)+$O$39</f>
        <v>132721.07951155718</v>
      </c>
      <c r="S30" s="10"/>
    </row>
    <row r="31" spans="1:19" x14ac:dyDescent="0.35">
      <c r="A31" t="s">
        <v>40</v>
      </c>
      <c r="H31" s="23">
        <f>H28-H30</f>
        <v>23759.583333333328</v>
      </c>
      <c r="I31" s="28">
        <f>I28-I30</f>
        <v>21573.342499999984</v>
      </c>
      <c r="J31" s="10">
        <f>J28-J30</f>
        <v>21544.361391666665</v>
      </c>
      <c r="K31" s="10">
        <f t="shared" ref="K31:R31" si="19">K28-K30</f>
        <v>21568.693326916647</v>
      </c>
      <c r="L31" s="10">
        <f t="shared" si="19"/>
        <v>21647.407464732503</v>
      </c>
      <c r="M31" s="10">
        <f t="shared" si="19"/>
        <v>21781.589015971942</v>
      </c>
      <c r="N31" s="10">
        <f t="shared" si="19"/>
        <v>21972.339457489739</v>
      </c>
      <c r="O31" s="10">
        <f t="shared" si="19"/>
        <v>22220.77674893623</v>
      </c>
      <c r="P31" s="10">
        <f t="shared" si="19"/>
        <v>22528.035552265967</v>
      </c>
      <c r="Q31" s="10">
        <f t="shared" si="19"/>
        <v>22895.267453987399</v>
      </c>
      <c r="R31" s="10">
        <f t="shared" si="19"/>
        <v>23323.641190188006</v>
      </c>
      <c r="S31" s="10"/>
    </row>
    <row r="32" spans="1:19" x14ac:dyDescent="0.35">
      <c r="A32" t="s">
        <v>41</v>
      </c>
      <c r="H32" s="23">
        <f>H31/('Data input'!$L$8+'Data input'!$L$9/2)</f>
        <v>374.16666666666657</v>
      </c>
      <c r="I32" s="10">
        <f>I31/('Data input'!$L$8+'Data input'!$L$9/2)</f>
        <v>339.73767716535406</v>
      </c>
      <c r="J32" s="10">
        <f>J31/('Data input'!$L$8+'Data input'!$L$9/2)</f>
        <v>339.28128175853016</v>
      </c>
      <c r="K32" s="10">
        <f>K31/('Data input'!$L$8+'Data input'!$L$9/2)</f>
        <v>339.66446184120707</v>
      </c>
      <c r="L32" s="10">
        <f>L31/('Data input'!$L$8+'Data input'!$L$9/2)</f>
        <v>340.90405456271657</v>
      </c>
      <c r="M32" s="10">
        <f>M31/('Data input'!$L$8+'Data input'!$L$9/2)</f>
        <v>343.01714985782587</v>
      </c>
      <c r="N32" s="10">
        <f>N31/('Data input'!$L$8+'Data input'!$L$9/2)</f>
        <v>346.02109381873606</v>
      </c>
      <c r="O32" s="10">
        <f>O31/('Data input'!$L$8+'Data input'!$L$9/2)</f>
        <v>349.93349210923196</v>
      </c>
      <c r="P32" s="10">
        <f>P31/('Data input'!$L$8+'Data input'!$L$9/2)</f>
        <v>354.77221342151131</v>
      </c>
      <c r="Q32" s="10">
        <f>Q31/('Data input'!$L$8+'Data input'!$L$9/2)</f>
        <v>360.55539297617952</v>
      </c>
      <c r="R32" s="10">
        <f>R31/('Data input'!$L$8+'Data input'!$L$9/2)</f>
        <v>367.30143606595283</v>
      </c>
      <c r="S32" s="10"/>
    </row>
    <row r="33" spans="1:19" x14ac:dyDescent="0.35">
      <c r="A33" s="8" t="s">
        <v>42</v>
      </c>
      <c r="B33" s="8"/>
      <c r="C33" s="8"/>
      <c r="D33" s="8"/>
      <c r="E33" s="23"/>
      <c r="H33" s="23">
        <f>100*H30/H28</f>
        <v>73.83985253462987</v>
      </c>
      <c r="I33" s="10">
        <f>100*I30/I28</f>
        <v>77.270398704413296</v>
      </c>
      <c r="J33" s="10">
        <f>100*J30/J28</f>
        <v>78.715816003481052</v>
      </c>
      <c r="K33" s="10">
        <f t="shared" ref="K33:R33" si="20">100*K30/K28</f>
        <v>79.963779053978186</v>
      </c>
      <c r="L33" s="10">
        <f t="shared" si="20"/>
        <v>81.043143433411601</v>
      </c>
      <c r="M33" s="10">
        <f t="shared" si="20"/>
        <v>81.977485747694416</v>
      </c>
      <c r="N33" s="10">
        <f t="shared" si="20"/>
        <v>82.786257106418503</v>
      </c>
      <c r="O33" s="10">
        <f t="shared" si="20"/>
        <v>83.485646825550063</v>
      </c>
      <c r="P33" s="10">
        <f t="shared" si="20"/>
        <v>84.089237872853928</v>
      </c>
      <c r="Q33" s="10">
        <f t="shared" si="20"/>
        <v>84.608510377093467</v>
      </c>
      <c r="R33" s="10">
        <f t="shared" si="20"/>
        <v>85.053232762185232</v>
      </c>
      <c r="S33" s="10"/>
    </row>
    <row r="35" spans="1:19" x14ac:dyDescent="0.35">
      <c r="A35" s="47" t="s">
        <v>43</v>
      </c>
      <c r="B35" s="47"/>
      <c r="C35" s="47"/>
      <c r="D35" s="33">
        <f>('Data input'!K8*'Data input'!L8+'Data input'!K9*'Data input'!L9)*4</f>
        <v>55880</v>
      </c>
      <c r="E35" s="2"/>
      <c r="F35" s="9"/>
      <c r="G35" s="9"/>
    </row>
    <row r="36" spans="1:19" x14ac:dyDescent="0.35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5">
      <c r="K37" s="9"/>
    </row>
    <row r="38" spans="1:19" ht="15" thickBot="1" x14ac:dyDescent="0.4">
      <c r="A38" s="53" t="s">
        <v>128</v>
      </c>
      <c r="B38" s="53"/>
      <c r="C38" s="53"/>
      <c r="F38" s="9"/>
    </row>
    <row r="39" spans="1:19" x14ac:dyDescent="0.35">
      <c r="B39" s="47" t="s">
        <v>53</v>
      </c>
      <c r="C39" s="47"/>
      <c r="D39" s="2">
        <f>'Data input'!D30</f>
        <v>37150</v>
      </c>
      <c r="F39" s="47" t="s">
        <v>54</v>
      </c>
      <c r="G39" s="47"/>
      <c r="H39" s="47"/>
      <c r="I39">
        <f>SUM(D39:D43)</f>
        <v>50275</v>
      </c>
      <c r="K39" s="61" t="s">
        <v>44</v>
      </c>
      <c r="L39" s="62"/>
      <c r="M39" s="62"/>
      <c r="N39" s="62"/>
      <c r="O39" s="59">
        <f>D35-I39</f>
        <v>5605</v>
      </c>
    </row>
    <row r="40" spans="1:19" ht="15" thickBot="1" x14ac:dyDescent="0.4">
      <c r="C40" s="2" t="s">
        <v>66</v>
      </c>
      <c r="D40" s="34">
        <v>6425</v>
      </c>
      <c r="F40" s="9"/>
      <c r="K40" s="63"/>
      <c r="L40" s="64"/>
      <c r="M40" s="64"/>
      <c r="N40" s="64"/>
      <c r="O40" s="60"/>
    </row>
    <row r="41" spans="1:19" x14ac:dyDescent="0.35">
      <c r="B41" s="47" t="s">
        <v>48</v>
      </c>
      <c r="C41" s="47"/>
      <c r="D41" s="34">
        <v>2600</v>
      </c>
      <c r="F41" s="9"/>
    </row>
    <row r="42" spans="1:19" x14ac:dyDescent="0.35">
      <c r="B42" s="47" t="s">
        <v>50</v>
      </c>
      <c r="C42" s="47"/>
      <c r="D42" s="34">
        <v>1100</v>
      </c>
      <c r="F42" s="9"/>
    </row>
    <row r="43" spans="1:19" x14ac:dyDescent="0.35">
      <c r="B43" s="47" t="s">
        <v>67</v>
      </c>
      <c r="C43" s="47"/>
      <c r="D43" s="34">
        <v>3000</v>
      </c>
      <c r="H43" s="2"/>
      <c r="I43" s="2"/>
    </row>
    <row r="44" spans="1:19" x14ac:dyDescent="0.35">
      <c r="B44" s="2"/>
      <c r="C44" s="2"/>
      <c r="D44" s="2"/>
      <c r="E44" s="2"/>
    </row>
    <row r="45" spans="1:19" x14ac:dyDescent="0.35">
      <c r="A45" t="s">
        <v>94</v>
      </c>
    </row>
    <row r="46" spans="1:19" x14ac:dyDescent="0.35">
      <c r="A46" s="13"/>
    </row>
    <row r="47" spans="1:19" x14ac:dyDescent="0.35">
      <c r="E47" s="2"/>
    </row>
    <row r="48" spans="1:19" x14ac:dyDescent="0.35">
      <c r="E48" s="12"/>
      <c r="H48" s="10"/>
      <c r="I48" s="7"/>
      <c r="J48" s="7"/>
    </row>
    <row r="49" spans="5:10" x14ac:dyDescent="0.35">
      <c r="E49" s="9"/>
      <c r="H49" s="10"/>
      <c r="I49" s="7"/>
      <c r="J49" s="7"/>
    </row>
  </sheetData>
  <sheetProtection selectLockedCells="1"/>
  <mergeCells count="21">
    <mergeCell ref="O39:O40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workbookViewId="0">
      <selection activeCell="T12" sqref="T12"/>
    </sheetView>
  </sheetViews>
  <sheetFormatPr defaultRowHeight="14.5" x14ac:dyDescent="0.35"/>
  <cols>
    <col min="1" max="1" width="6.90625" customWidth="1"/>
    <col min="2" max="2" width="9.6328125" customWidth="1"/>
    <col min="4" max="4" width="7.90625" customWidth="1"/>
  </cols>
  <sheetData>
    <row r="1" spans="1:19" ht="15" customHeight="1" x14ac:dyDescent="0.35">
      <c r="F1" s="50" t="s">
        <v>73</v>
      </c>
      <c r="G1" s="50"/>
      <c r="H1" s="50"/>
      <c r="I1" s="50"/>
      <c r="J1" s="57" t="str">
        <f>'Data input'!H4</f>
        <v>February</v>
      </c>
      <c r="K1" s="50"/>
      <c r="L1" s="50">
        <f>'Data input'!D4</f>
        <v>2022</v>
      </c>
    </row>
    <row r="2" spans="1:19" x14ac:dyDescent="0.35">
      <c r="F2" s="50"/>
      <c r="G2" s="50"/>
      <c r="H2" s="50"/>
      <c r="I2" s="50"/>
      <c r="J2" s="50"/>
      <c r="K2" s="50"/>
      <c r="L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L1</f>
        <v>2022</v>
      </c>
      <c r="H5" s="54"/>
      <c r="I5" s="1">
        <f>G5+1</f>
        <v>2023</v>
      </c>
      <c r="J5" s="1">
        <f>I5+1</f>
        <v>2024</v>
      </c>
      <c r="K5" s="1">
        <f t="shared" ref="K5:M5" si="1">J5+1</f>
        <v>2025</v>
      </c>
      <c r="L5" s="1">
        <f t="shared" si="1"/>
        <v>2026</v>
      </c>
      <c r="M5" s="1">
        <f t="shared" si="1"/>
        <v>2027</v>
      </c>
      <c r="N5" s="1">
        <f t="shared" si="0"/>
        <v>2028</v>
      </c>
      <c r="O5" s="1">
        <f t="shared" si="0"/>
        <v>2029</v>
      </c>
      <c r="P5" s="1">
        <f t="shared" si="0"/>
        <v>2030</v>
      </c>
      <c r="Q5" s="1">
        <f t="shared" si="0"/>
        <v>2031</v>
      </c>
      <c r="R5" s="1">
        <f t="shared" si="0"/>
        <v>2032</v>
      </c>
      <c r="S5" s="1"/>
    </row>
    <row r="6" spans="1:19" ht="15" customHeight="1" x14ac:dyDescent="0.35">
      <c r="C6" s="46" t="s">
        <v>15</v>
      </c>
      <c r="D6" s="46"/>
      <c r="E6" t="s">
        <v>65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20"/>
    </row>
    <row r="7" spans="1:19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20"/>
    </row>
    <row r="8" spans="1:19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46" t="s">
        <v>55</v>
      </c>
      <c r="B9" s="46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5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22</v>
      </c>
      <c r="H10" s="23">
        <f>$E$10*$G$10/$F$10</f>
        <v>9350</v>
      </c>
      <c r="I10" s="10">
        <f>$E$10*($G$10+I4)/$F$10</f>
        <v>9775</v>
      </c>
      <c r="J10" s="10">
        <f>$E$10*($G$10+J4)/$F$10</f>
        <v>10200</v>
      </c>
      <c r="K10" s="10">
        <f t="shared" ref="K10:R10" si="2">$E$10*($G$10+K4)/$F$10</f>
        <v>10625</v>
      </c>
      <c r="L10" s="10">
        <f t="shared" si="2"/>
        <v>11050</v>
      </c>
      <c r="M10" s="10">
        <f t="shared" si="2"/>
        <v>11475</v>
      </c>
      <c r="N10" s="10">
        <f t="shared" si="2"/>
        <v>11900</v>
      </c>
      <c r="O10" s="10">
        <f t="shared" si="2"/>
        <v>12325</v>
      </c>
      <c r="P10" s="10">
        <f t="shared" si="2"/>
        <v>12750</v>
      </c>
      <c r="Q10" s="10">
        <f t="shared" si="2"/>
        <v>13175</v>
      </c>
      <c r="R10" s="10">
        <f t="shared" si="2"/>
        <v>13600</v>
      </c>
      <c r="S10" s="10"/>
    </row>
    <row r="11" spans="1:19" x14ac:dyDescent="0.35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23</v>
      </c>
      <c r="H11" s="23">
        <f>$E$11*$G$11/$F$11</f>
        <v>16560</v>
      </c>
      <c r="I11" s="10">
        <f>$E$11*($G$11+I4)/$F$11</f>
        <v>17280</v>
      </c>
      <c r="J11" s="10">
        <f t="shared" ref="J11:R11" si="3">$E$11*($G$11+J4)/$F$11</f>
        <v>18000</v>
      </c>
      <c r="K11" s="10">
        <f t="shared" si="3"/>
        <v>18720</v>
      </c>
      <c r="L11" s="10">
        <f t="shared" si="3"/>
        <v>19440</v>
      </c>
      <c r="M11" s="10">
        <f t="shared" si="3"/>
        <v>20160</v>
      </c>
      <c r="N11" s="10">
        <f t="shared" si="3"/>
        <v>20880</v>
      </c>
      <c r="O11" s="10">
        <f t="shared" si="3"/>
        <v>21600</v>
      </c>
      <c r="P11" s="10">
        <f t="shared" si="3"/>
        <v>22320</v>
      </c>
      <c r="Q11" s="10">
        <f t="shared" si="3"/>
        <v>23040</v>
      </c>
      <c r="R11" s="10">
        <f t="shared" si="3"/>
        <v>23760</v>
      </c>
    </row>
    <row r="12" spans="1:19" x14ac:dyDescent="0.35">
      <c r="B12" s="2" t="s">
        <v>98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6</v>
      </c>
      <c r="H12" s="23">
        <f>$E$12*$G$12/$F$12</f>
        <v>5100</v>
      </c>
      <c r="I12" s="28">
        <f>$E$12*($G$12+I4)/$F$12</f>
        <v>5950</v>
      </c>
      <c r="J12" s="28">
        <f t="shared" ref="J12:R12" si="4">$E$12*($G$12+J4)/$F$12</f>
        <v>6800</v>
      </c>
      <c r="K12" s="28">
        <f t="shared" si="4"/>
        <v>7650</v>
      </c>
      <c r="L12" s="28">
        <f t="shared" si="4"/>
        <v>8500</v>
      </c>
      <c r="M12" s="28">
        <f t="shared" si="4"/>
        <v>9350</v>
      </c>
      <c r="N12" s="28">
        <f t="shared" si="4"/>
        <v>10200</v>
      </c>
      <c r="O12" s="28">
        <f t="shared" si="4"/>
        <v>11050</v>
      </c>
      <c r="P12" s="28">
        <f t="shared" si="4"/>
        <v>11900</v>
      </c>
      <c r="Q12" s="28">
        <f t="shared" si="4"/>
        <v>12750</v>
      </c>
      <c r="R12" s="28">
        <f t="shared" si="4"/>
        <v>13600</v>
      </c>
    </row>
    <row r="13" spans="1:19" x14ac:dyDescent="0.35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23</v>
      </c>
      <c r="H13" s="23">
        <f>$E$13*$G$13/$F$13</f>
        <v>3137.2</v>
      </c>
      <c r="I13" s="10">
        <f>$E$13*($G$13+I4)/$F$13</f>
        <v>3273.6</v>
      </c>
      <c r="J13" s="10">
        <f t="shared" ref="J13:R13" si="5">$E$13*($G$13+J4)/$F$13</f>
        <v>3410</v>
      </c>
      <c r="K13" s="10">
        <f t="shared" si="5"/>
        <v>3546.4</v>
      </c>
      <c r="L13" s="10">
        <f t="shared" si="5"/>
        <v>3682.8</v>
      </c>
      <c r="M13" s="10">
        <f t="shared" si="5"/>
        <v>3819.2</v>
      </c>
      <c r="N13" s="10">
        <f t="shared" si="5"/>
        <v>3955.6</v>
      </c>
      <c r="O13" s="10">
        <f t="shared" si="5"/>
        <v>4092</v>
      </c>
      <c r="P13" s="10">
        <f t="shared" si="5"/>
        <v>4228.3999999999996</v>
      </c>
      <c r="Q13" s="10">
        <f t="shared" si="5"/>
        <v>4364.8</v>
      </c>
      <c r="R13" s="10">
        <f t="shared" si="5"/>
        <v>4501.2</v>
      </c>
    </row>
    <row r="14" spans="1:19" x14ac:dyDescent="0.35">
      <c r="B14" s="2" t="s">
        <v>32</v>
      </c>
      <c r="E14" s="11">
        <v>2000</v>
      </c>
      <c r="F14" s="11">
        <v>40</v>
      </c>
      <c r="G14" s="9">
        <f>7+$G$5-2019</f>
        <v>10</v>
      </c>
      <c r="H14" s="23">
        <f>$E$14*$G$14/$F$14</f>
        <v>500</v>
      </c>
      <c r="I14" s="28">
        <f>$E$14*($G$14+I4)/$F$14</f>
        <v>550</v>
      </c>
      <c r="J14" s="10">
        <f t="shared" ref="J14:R14" si="6">$E$14*($G$14+J4)/$F$14</f>
        <v>600</v>
      </c>
      <c r="K14" s="10">
        <f t="shared" si="6"/>
        <v>650</v>
      </c>
      <c r="L14" s="10">
        <f t="shared" si="6"/>
        <v>700</v>
      </c>
      <c r="M14" s="10">
        <f t="shared" si="6"/>
        <v>750</v>
      </c>
      <c r="N14" s="10">
        <f t="shared" si="6"/>
        <v>800</v>
      </c>
      <c r="O14" s="10">
        <f t="shared" si="6"/>
        <v>850</v>
      </c>
      <c r="P14" s="10">
        <f t="shared" si="6"/>
        <v>900</v>
      </c>
      <c r="Q14" s="10">
        <f t="shared" si="6"/>
        <v>950</v>
      </c>
      <c r="R14" s="10">
        <f t="shared" si="6"/>
        <v>1000</v>
      </c>
    </row>
    <row r="15" spans="1:19" x14ac:dyDescent="0.35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5">
      <c r="A16" s="47" t="s">
        <v>69</v>
      </c>
      <c r="B16" s="47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6</v>
      </c>
      <c r="H16" s="23">
        <f>$E$16*$G$16/$F$16</f>
        <v>4072.2</v>
      </c>
      <c r="I16" s="10">
        <f>$E$16*(I4+$G$16)/$F$16</f>
        <v>4750.8999999999996</v>
      </c>
      <c r="J16" s="10">
        <f t="shared" ref="J16:R16" si="7">$E$16*(J4+$G$16)/$F$16</f>
        <v>5429.6</v>
      </c>
      <c r="K16" s="10">
        <f t="shared" si="7"/>
        <v>6108.3</v>
      </c>
      <c r="L16" s="10">
        <f t="shared" si="7"/>
        <v>6787</v>
      </c>
      <c r="M16" s="10">
        <f t="shared" si="7"/>
        <v>7465.7</v>
      </c>
      <c r="N16" s="10">
        <f t="shared" si="7"/>
        <v>8144.4</v>
      </c>
      <c r="O16" s="10">
        <f t="shared" si="7"/>
        <v>8823.1</v>
      </c>
      <c r="P16" s="10">
        <f t="shared" si="7"/>
        <v>9501.7999999999993</v>
      </c>
      <c r="Q16" s="10">
        <f t="shared" si="7"/>
        <v>10180.5</v>
      </c>
      <c r="R16" s="10">
        <f t="shared" si="7"/>
        <v>10859.2</v>
      </c>
      <c r="S16" s="10"/>
    </row>
    <row r="17" spans="1:19" x14ac:dyDescent="0.35">
      <c r="A17" s="47" t="s">
        <v>57</v>
      </c>
      <c r="B17" s="47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13</v>
      </c>
      <c r="H17" s="23">
        <f>$E$17*$G$17/$F$17</f>
        <v>6442.8</v>
      </c>
      <c r="I17" s="10">
        <f t="shared" ref="I17:R17" si="8">$E$17*($G$17+I4)/$F$17</f>
        <v>6938.4</v>
      </c>
      <c r="J17" s="10">
        <f t="shared" si="8"/>
        <v>7434</v>
      </c>
      <c r="K17" s="10">
        <f t="shared" si="8"/>
        <v>7929.6</v>
      </c>
      <c r="L17" s="10">
        <f t="shared" si="8"/>
        <v>8425.2000000000007</v>
      </c>
      <c r="M17" s="10">
        <f t="shared" si="8"/>
        <v>8920.7999999999993</v>
      </c>
      <c r="N17" s="10">
        <f t="shared" si="8"/>
        <v>9416.4</v>
      </c>
      <c r="O17" s="10">
        <f t="shared" si="8"/>
        <v>9912</v>
      </c>
      <c r="P17" s="10">
        <f t="shared" si="8"/>
        <v>10407.6</v>
      </c>
      <c r="Q17" s="10">
        <f t="shared" si="8"/>
        <v>10903.2</v>
      </c>
      <c r="R17" s="10">
        <f t="shared" si="8"/>
        <v>11398.8</v>
      </c>
      <c r="S17" s="10"/>
    </row>
    <row r="18" spans="1:19" x14ac:dyDescent="0.35">
      <c r="A18" s="47" t="s">
        <v>58</v>
      </c>
      <c r="B18" s="47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12</v>
      </c>
      <c r="H18" s="23">
        <f>$E$18*$G$18/$F$18</f>
        <v>1248</v>
      </c>
      <c r="I18" s="10">
        <f t="shared" ref="I18:R18" si="9">$E$18*($G$18+I4)/$F$18</f>
        <v>1352</v>
      </c>
      <c r="J18" s="10">
        <f t="shared" si="9"/>
        <v>1456</v>
      </c>
      <c r="K18" s="10">
        <f t="shared" si="9"/>
        <v>1560</v>
      </c>
      <c r="L18" s="10">
        <f t="shared" si="9"/>
        <v>1664</v>
      </c>
      <c r="M18" s="10">
        <f t="shared" si="9"/>
        <v>1768</v>
      </c>
      <c r="N18" s="10">
        <f t="shared" si="9"/>
        <v>1872</v>
      </c>
      <c r="O18" s="10">
        <f t="shared" si="9"/>
        <v>1976</v>
      </c>
      <c r="P18" s="10">
        <f t="shared" si="9"/>
        <v>2080</v>
      </c>
      <c r="Q18" s="10">
        <f t="shared" si="9"/>
        <v>2184</v>
      </c>
      <c r="R18" s="10">
        <f t="shared" si="9"/>
        <v>2288</v>
      </c>
      <c r="S18" s="10"/>
    </row>
    <row r="19" spans="1:19" x14ac:dyDescent="0.35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5">
      <c r="A20" t="s">
        <v>38</v>
      </c>
      <c r="E20" s="8"/>
      <c r="H20" s="23">
        <f t="shared" ref="H20:R20" si="10">SUM(H9:H18)</f>
        <v>46410.2</v>
      </c>
      <c r="I20" s="10">
        <f t="shared" si="10"/>
        <v>49869.9</v>
      </c>
      <c r="J20" s="10">
        <f t="shared" si="10"/>
        <v>53329.599999999999</v>
      </c>
      <c r="K20" s="10">
        <f t="shared" si="10"/>
        <v>56789.3</v>
      </c>
      <c r="L20" s="10">
        <f t="shared" si="10"/>
        <v>60249</v>
      </c>
      <c r="M20" s="10">
        <f t="shared" si="10"/>
        <v>63708.7</v>
      </c>
      <c r="N20" s="10">
        <f t="shared" si="10"/>
        <v>67168.399999999994</v>
      </c>
      <c r="O20" s="10">
        <f t="shared" si="10"/>
        <v>70628.100000000006</v>
      </c>
      <c r="P20" s="10">
        <f t="shared" si="10"/>
        <v>74087.8</v>
      </c>
      <c r="Q20" s="10">
        <f t="shared" si="10"/>
        <v>77547.5</v>
      </c>
      <c r="R20" s="10">
        <f t="shared" si="10"/>
        <v>81007.199999999997</v>
      </c>
      <c r="S20" s="10"/>
    </row>
    <row r="21" spans="1:19" x14ac:dyDescent="0.35">
      <c r="A21" t="s">
        <v>59</v>
      </c>
      <c r="H21" s="23">
        <f>SUM(H9:H18)</f>
        <v>46410.2</v>
      </c>
      <c r="I21" s="10">
        <f>I20*(1+'Data input'!$D$23/100)^I4</f>
        <v>50368.599000000002</v>
      </c>
      <c r="J21" s="10">
        <f>J20*(1+'Data input'!$D$23/100)^J4</f>
        <v>54401.524960000002</v>
      </c>
      <c r="K21" s="10">
        <f>K20*(1+'Data input'!$D$23/100)^K4</f>
        <v>58510.072579299995</v>
      </c>
      <c r="L21" s="10">
        <f>L20*(1+'Data input'!$D$23/100)^L4</f>
        <v>62695.350998490001</v>
      </c>
      <c r="M21" s="10">
        <f>M20*(1+'Data input'!$D$23/100)^M4</f>
        <v>66958.48397880586</v>
      </c>
      <c r="N21" s="10">
        <f>N20*(1+'Data input'!$D$23/100)^N4</f>
        <v>71300.610083628213</v>
      </c>
      <c r="O21" s="10">
        <f>O20*(1+'Data input'!$D$23/100)^O4</f>
        <v>75722.882862149112</v>
      </c>
      <c r="P21" s="10">
        <f>P20*(1+'Data input'!$D$23/100)^P4</f>
        <v>80226.471035232084</v>
      </c>
      <c r="Q21" s="10">
        <f>Q20*(1+'Data input'!$D$23/100)^Q4</f>
        <v>84812.558683490497</v>
      </c>
      <c r="R21" s="10">
        <f>R20*(1+'Data input'!$D$23/100)^R4</f>
        <v>89482.345437610536</v>
      </c>
      <c r="S21" s="10"/>
    </row>
    <row r="22" spans="1:19" x14ac:dyDescent="0.35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5">
      <c r="A23" t="s">
        <v>103</v>
      </c>
      <c r="E23" s="8"/>
      <c r="H23" s="23">
        <f>'Data input'!D34</f>
        <v>30687</v>
      </c>
      <c r="I23" s="10">
        <f>H23 +$P$29</f>
        <v>35287</v>
      </c>
      <c r="J23" s="10">
        <f>I23 +$P$29</f>
        <v>39887</v>
      </c>
      <c r="K23" s="10">
        <f t="shared" ref="K23:R23" si="11">J23 +$P$29</f>
        <v>44487</v>
      </c>
      <c r="L23" s="10">
        <f t="shared" si="11"/>
        <v>49087</v>
      </c>
      <c r="M23" s="10">
        <f t="shared" si="11"/>
        <v>53687</v>
      </c>
      <c r="N23" s="10">
        <f t="shared" si="11"/>
        <v>58287</v>
      </c>
      <c r="O23" s="10">
        <f t="shared" si="11"/>
        <v>62887</v>
      </c>
      <c r="P23" s="10">
        <f t="shared" si="11"/>
        <v>67487</v>
      </c>
      <c r="Q23" s="10">
        <f t="shared" si="11"/>
        <v>72087</v>
      </c>
      <c r="R23" s="10">
        <f t="shared" si="11"/>
        <v>76687</v>
      </c>
      <c r="S23" s="10"/>
    </row>
    <row r="24" spans="1:19" x14ac:dyDescent="0.35">
      <c r="A24" t="s">
        <v>40</v>
      </c>
      <c r="E24" s="8"/>
      <c r="H24" s="23">
        <f>H21-H23</f>
        <v>15723.199999999997</v>
      </c>
      <c r="I24" s="28">
        <f>I21-I23</f>
        <v>15081.599000000002</v>
      </c>
      <c r="J24" s="28">
        <f t="shared" ref="J24:R24" si="12">J21-J23</f>
        <v>14514.524960000002</v>
      </c>
      <c r="K24" s="28">
        <f t="shared" si="12"/>
        <v>14023.072579299995</v>
      </c>
      <c r="L24" s="28">
        <f t="shared" si="12"/>
        <v>13608.350998490001</v>
      </c>
      <c r="M24" s="28">
        <f t="shared" si="12"/>
        <v>13271.48397880586</v>
      </c>
      <c r="N24" s="28">
        <f t="shared" si="12"/>
        <v>13013.610083628213</v>
      </c>
      <c r="O24" s="28">
        <f t="shared" si="12"/>
        <v>12835.882862149112</v>
      </c>
      <c r="P24" s="28">
        <f t="shared" si="12"/>
        <v>12739.471035232084</v>
      </c>
      <c r="Q24" s="28">
        <f t="shared" si="12"/>
        <v>12725.558683490497</v>
      </c>
      <c r="R24" s="28">
        <f t="shared" si="12"/>
        <v>12795.345437610536</v>
      </c>
      <c r="S24" s="10"/>
    </row>
    <row r="25" spans="1:19" x14ac:dyDescent="0.35">
      <c r="A25" t="s">
        <v>41</v>
      </c>
      <c r="E25" s="8"/>
      <c r="H25" s="23">
        <f>H24/'Data input'!$L$10</f>
        <v>1572.3199999999997</v>
      </c>
      <c r="I25" s="10">
        <f>I24/'Data input'!$L$10</f>
        <v>1508.1599000000001</v>
      </c>
      <c r="J25" s="10">
        <f>J24/'Data input'!$L$10</f>
        <v>1451.4524960000003</v>
      </c>
      <c r="K25" s="10">
        <f>K24/'Data input'!$L$10</f>
        <v>1402.3072579299994</v>
      </c>
      <c r="L25" s="10">
        <f>L24/'Data input'!$L$10</f>
        <v>1360.835099849</v>
      </c>
      <c r="M25" s="10">
        <f>M24/'Data input'!$L$10</f>
        <v>1327.1483978805859</v>
      </c>
      <c r="N25" s="10">
        <f>N24/'Data input'!$L$10</f>
        <v>1301.3610083628214</v>
      </c>
      <c r="O25" s="10">
        <f>O24/'Data input'!$L$10</f>
        <v>1283.5882862149112</v>
      </c>
      <c r="P25" s="10">
        <f>P24/'Data input'!$L$10</f>
        <v>1273.9471035232084</v>
      </c>
      <c r="Q25" s="10">
        <f>Q24/'Data input'!$L$10</f>
        <v>1272.5558683490497</v>
      </c>
      <c r="R25" s="10">
        <f>R24/'Data input'!$L$10</f>
        <v>1279.5345437610536</v>
      </c>
      <c r="S25" s="10"/>
    </row>
    <row r="26" spans="1:19" x14ac:dyDescent="0.35">
      <c r="A26" s="8" t="s">
        <v>42</v>
      </c>
      <c r="B26" s="8"/>
      <c r="C26" s="8"/>
      <c r="D26" s="8"/>
      <c r="E26" s="8"/>
      <c r="H26" s="23">
        <f t="shared" ref="H26" si="13">100*H23/H21</f>
        <v>66.121240589353206</v>
      </c>
      <c r="I26" s="10">
        <f>100*I23/I21</f>
        <v>70.057537236642219</v>
      </c>
      <c r="J26" s="10">
        <f t="shared" ref="J26:R26" si="14">100*J23/J21</f>
        <v>73.319635854560786</v>
      </c>
      <c r="K26" s="10">
        <f t="shared" si="14"/>
        <v>76.033062409392471</v>
      </c>
      <c r="L26" s="10">
        <f t="shared" si="14"/>
        <v>78.294481517748011</v>
      </c>
      <c r="M26" s="10">
        <f t="shared" si="14"/>
        <v>80.179533361289003</v>
      </c>
      <c r="N26" s="10">
        <f t="shared" si="14"/>
        <v>81.748248621765512</v>
      </c>
      <c r="O26" s="10">
        <f t="shared" si="14"/>
        <v>83.048871916939035</v>
      </c>
      <c r="P26" s="10">
        <f t="shared" si="14"/>
        <v>84.120613968377782</v>
      </c>
      <c r="Q26" s="10">
        <f t="shared" si="14"/>
        <v>84.995667055653115</v>
      </c>
      <c r="R26" s="10">
        <f t="shared" si="14"/>
        <v>85.700704004756119</v>
      </c>
      <c r="S26" s="10"/>
    </row>
    <row r="28" spans="1:19" ht="15" thickBot="1" x14ac:dyDescent="0.4">
      <c r="D28" s="47" t="s">
        <v>79</v>
      </c>
      <c r="E28" s="47"/>
      <c r="F28" s="47"/>
      <c r="G28" s="47"/>
      <c r="H28" s="1">
        <f>4*'Data input'!K10*'Data input'!L10</f>
        <v>5800</v>
      </c>
    </row>
    <row r="29" spans="1:19" x14ac:dyDescent="0.35">
      <c r="A29" s="47" t="s">
        <v>61</v>
      </c>
      <c r="B29" s="47"/>
      <c r="C29" s="47"/>
      <c r="D29" s="47"/>
      <c r="E29" s="47"/>
      <c r="F29" s="47"/>
      <c r="G29" s="47"/>
      <c r="H29" s="16">
        <v>1200</v>
      </c>
      <c r="K29" s="9"/>
      <c r="L29" s="61" t="s">
        <v>44</v>
      </c>
      <c r="M29" s="65"/>
      <c r="N29" s="65"/>
      <c r="O29" s="65"/>
      <c r="P29" s="59">
        <f>H28-H29</f>
        <v>4600</v>
      </c>
    </row>
    <row r="30" spans="1:19" ht="15" thickBot="1" x14ac:dyDescent="0.4">
      <c r="L30" s="66"/>
      <c r="M30" s="67"/>
      <c r="N30" s="67"/>
      <c r="O30" s="67"/>
      <c r="P30" s="60"/>
    </row>
    <row r="33" spans="2:8" x14ac:dyDescent="0.35">
      <c r="B33" s="13"/>
      <c r="C33" s="13"/>
      <c r="D33" s="13"/>
    </row>
    <row r="35" spans="2:8" x14ac:dyDescent="0.35">
      <c r="E35" s="2"/>
    </row>
    <row r="36" spans="2:8" x14ac:dyDescent="0.35">
      <c r="E36" s="9"/>
    </row>
    <row r="37" spans="2:8" x14ac:dyDescent="0.35">
      <c r="E37" s="9"/>
      <c r="H37" s="9"/>
    </row>
    <row r="38" spans="2:8" x14ac:dyDescent="0.35">
      <c r="G38" s="9"/>
    </row>
  </sheetData>
  <mergeCells count="15">
    <mergeCell ref="F1:I2"/>
    <mergeCell ref="J1:K2"/>
    <mergeCell ref="L1:L2"/>
    <mergeCell ref="H6:R7"/>
    <mergeCell ref="G5:H5"/>
    <mergeCell ref="G4:H4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workbookViewId="0">
      <selection activeCell="T12" sqref="T12"/>
    </sheetView>
  </sheetViews>
  <sheetFormatPr defaultRowHeight="14.5" x14ac:dyDescent="0.35"/>
  <sheetData>
    <row r="1" spans="1:18" ht="15" customHeight="1" x14ac:dyDescent="0.35">
      <c r="F1" s="50" t="s">
        <v>119</v>
      </c>
      <c r="G1" s="50"/>
      <c r="H1" s="50"/>
      <c r="I1" s="50"/>
      <c r="J1" s="50"/>
      <c r="K1" s="50"/>
      <c r="L1" s="50" t="str">
        <f>'Data input'!H4</f>
        <v>February</v>
      </c>
      <c r="M1" s="50"/>
      <c r="N1" s="50">
        <f>'Data input'!D4</f>
        <v>2022</v>
      </c>
    </row>
    <row r="2" spans="1:18" x14ac:dyDescent="0.35">
      <c r="F2" s="50"/>
      <c r="G2" s="50"/>
      <c r="H2" s="50"/>
      <c r="I2" s="50"/>
      <c r="J2" s="50"/>
      <c r="K2" s="50"/>
      <c r="L2" s="50"/>
      <c r="M2" s="50"/>
      <c r="N2" s="50"/>
    </row>
    <row r="4" spans="1:18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5">
      <c r="E5" s="1" t="s">
        <v>14</v>
      </c>
      <c r="G5" s="54">
        <f>N1</f>
        <v>2022</v>
      </c>
      <c r="H5" s="54"/>
      <c r="I5" s="1">
        <f>G5+1</f>
        <v>2023</v>
      </c>
      <c r="J5" s="1">
        <f>I5+1</f>
        <v>2024</v>
      </c>
      <c r="K5" s="1">
        <f t="shared" ref="K5:M5" si="1">J5+1</f>
        <v>2025</v>
      </c>
      <c r="L5" s="1">
        <f t="shared" si="1"/>
        <v>2026</v>
      </c>
      <c r="M5" s="1">
        <f t="shared" si="1"/>
        <v>2027</v>
      </c>
      <c r="N5" s="1">
        <f t="shared" si="0"/>
        <v>2028</v>
      </c>
      <c r="O5" s="1">
        <f t="shared" si="0"/>
        <v>2029</v>
      </c>
      <c r="P5" s="1">
        <f t="shared" si="0"/>
        <v>2030</v>
      </c>
      <c r="Q5" s="1">
        <f t="shared" si="0"/>
        <v>2031</v>
      </c>
      <c r="R5" s="1">
        <f t="shared" si="0"/>
        <v>2032</v>
      </c>
    </row>
    <row r="6" spans="1:18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 customHeight="1" x14ac:dyDescent="0.35">
      <c r="D7" t="s">
        <v>20</v>
      </c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x14ac:dyDescent="0.35">
      <c r="A8" s="46" t="s">
        <v>55</v>
      </c>
      <c r="B8" s="46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5">
      <c r="A9" s="47" t="s">
        <v>34</v>
      </c>
      <c r="B9" s="47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22</v>
      </c>
      <c r="H9" s="23">
        <f>$E$9*$G$9/$F$9</f>
        <v>7370</v>
      </c>
      <c r="I9" s="10">
        <f t="shared" ref="I9:R9" si="2">$E$9*($G$9+I4)/$F$9</f>
        <v>7705</v>
      </c>
      <c r="J9" s="10">
        <f t="shared" si="2"/>
        <v>8040</v>
      </c>
      <c r="K9" s="10">
        <f t="shared" si="2"/>
        <v>8375</v>
      </c>
      <c r="L9" s="10">
        <f t="shared" si="2"/>
        <v>8710</v>
      </c>
      <c r="M9" s="10">
        <f t="shared" si="2"/>
        <v>9045</v>
      </c>
      <c r="N9" s="10">
        <f t="shared" si="2"/>
        <v>9380</v>
      </c>
      <c r="O9" s="10">
        <f t="shared" si="2"/>
        <v>9715</v>
      </c>
      <c r="P9" s="10">
        <f t="shared" si="2"/>
        <v>10050</v>
      </c>
      <c r="Q9" s="10">
        <f t="shared" si="2"/>
        <v>10385</v>
      </c>
      <c r="R9" s="10">
        <f t="shared" si="2"/>
        <v>10720</v>
      </c>
    </row>
    <row r="10" spans="1:18" x14ac:dyDescent="0.35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23</v>
      </c>
      <c r="H10" s="23">
        <f>$E$10*$G$10/$F$10</f>
        <v>10488</v>
      </c>
      <c r="I10" s="10">
        <f t="shared" ref="I10:R10" si="3">$E$10*($G$10+I4)/$F$10</f>
        <v>10944</v>
      </c>
      <c r="J10" s="10">
        <f t="shared" si="3"/>
        <v>11400</v>
      </c>
      <c r="K10" s="10">
        <f t="shared" si="3"/>
        <v>11856</v>
      </c>
      <c r="L10" s="10">
        <f t="shared" si="3"/>
        <v>12312</v>
      </c>
      <c r="M10" s="10">
        <f t="shared" si="3"/>
        <v>12768</v>
      </c>
      <c r="N10" s="10">
        <f t="shared" si="3"/>
        <v>13224</v>
      </c>
      <c r="O10" s="10">
        <f t="shared" si="3"/>
        <v>13680</v>
      </c>
      <c r="P10" s="10">
        <f t="shared" si="3"/>
        <v>14136</v>
      </c>
      <c r="Q10" s="10">
        <f t="shared" si="3"/>
        <v>14592</v>
      </c>
      <c r="R10" s="10">
        <f t="shared" si="3"/>
        <v>15048</v>
      </c>
    </row>
    <row r="11" spans="1:18" x14ac:dyDescent="0.35">
      <c r="B11" s="2" t="s">
        <v>98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6</v>
      </c>
      <c r="H11" s="23">
        <f>$E$11*$G$11/$F$11</f>
        <v>4020</v>
      </c>
      <c r="I11" s="28">
        <f>$E$11*($G$11+I4)/$F$11</f>
        <v>4690</v>
      </c>
      <c r="J11" s="28">
        <f t="shared" ref="J11:R11" si="4">$E$11*($G$11+J4)/$F$11</f>
        <v>5360</v>
      </c>
      <c r="K11" s="28">
        <f t="shared" si="4"/>
        <v>6030</v>
      </c>
      <c r="L11" s="28">
        <f t="shared" si="4"/>
        <v>6700</v>
      </c>
      <c r="M11" s="28">
        <f t="shared" si="4"/>
        <v>7370</v>
      </c>
      <c r="N11" s="28">
        <f t="shared" si="4"/>
        <v>8040</v>
      </c>
      <c r="O11" s="28">
        <f t="shared" si="4"/>
        <v>8710</v>
      </c>
      <c r="P11" s="28">
        <f t="shared" si="4"/>
        <v>9380</v>
      </c>
      <c r="Q11" s="28">
        <f t="shared" si="4"/>
        <v>10050</v>
      </c>
      <c r="R11" s="28">
        <f t="shared" si="4"/>
        <v>10720</v>
      </c>
    </row>
    <row r="12" spans="1:18" x14ac:dyDescent="0.35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23</v>
      </c>
      <c r="H12" s="23">
        <f>$E$12*$G$12/$F$12</f>
        <v>2246.64</v>
      </c>
      <c r="I12" s="10">
        <f t="shared" ref="I12:R12" si="5">$E$12*($G$12+I4)/$F$12</f>
        <v>2344.3200000000002</v>
      </c>
      <c r="J12" s="10">
        <f t="shared" si="5"/>
        <v>2442</v>
      </c>
      <c r="K12" s="10">
        <f t="shared" si="5"/>
        <v>2539.6799999999998</v>
      </c>
      <c r="L12" s="10">
        <f t="shared" si="5"/>
        <v>2637.36</v>
      </c>
      <c r="M12" s="10">
        <f t="shared" si="5"/>
        <v>2735.04</v>
      </c>
      <c r="N12" s="10">
        <f t="shared" si="5"/>
        <v>2832.72</v>
      </c>
      <c r="O12" s="10">
        <f t="shared" si="5"/>
        <v>2930.4</v>
      </c>
      <c r="P12" s="10">
        <f t="shared" si="5"/>
        <v>3028.08</v>
      </c>
      <c r="Q12" s="10">
        <f t="shared" si="5"/>
        <v>3125.76</v>
      </c>
      <c r="R12" s="10">
        <f t="shared" si="5"/>
        <v>3223.44</v>
      </c>
    </row>
    <row r="13" spans="1:18" x14ac:dyDescent="0.35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10</v>
      </c>
      <c r="H13" s="23">
        <f>$E$13*$G$13/$F$13</f>
        <v>500</v>
      </c>
      <c r="I13" s="10">
        <f t="shared" ref="I13:R13" si="6">$E$13*($G$13+I4)/$F$13</f>
        <v>550</v>
      </c>
      <c r="J13" s="10">
        <f t="shared" si="6"/>
        <v>600</v>
      </c>
      <c r="K13" s="10">
        <f t="shared" si="6"/>
        <v>650</v>
      </c>
      <c r="L13" s="10">
        <f t="shared" si="6"/>
        <v>700</v>
      </c>
      <c r="M13" s="10">
        <f t="shared" si="6"/>
        <v>750</v>
      </c>
      <c r="N13" s="10">
        <f t="shared" si="6"/>
        <v>800</v>
      </c>
      <c r="O13" s="10">
        <f t="shared" si="6"/>
        <v>850</v>
      </c>
      <c r="P13" s="10">
        <f t="shared" si="6"/>
        <v>900</v>
      </c>
      <c r="Q13" s="10">
        <f t="shared" si="6"/>
        <v>950</v>
      </c>
      <c r="R13" s="10">
        <f t="shared" si="6"/>
        <v>1000</v>
      </c>
    </row>
    <row r="14" spans="1:18" x14ac:dyDescent="0.35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5">
      <c r="A15" s="47" t="s">
        <v>69</v>
      </c>
      <c r="B15" s="47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6</v>
      </c>
      <c r="H15" s="23">
        <f>E15*G15/F15</f>
        <v>1905.6</v>
      </c>
      <c r="I15" s="10">
        <f>$E$15*(I4+$G$15)/$F$15</f>
        <v>2223.1999999999998</v>
      </c>
      <c r="J15" s="10">
        <f t="shared" ref="J15:R15" si="7">$E$15*(J4+$G$15)/$F$15</f>
        <v>2540.8000000000002</v>
      </c>
      <c r="K15" s="10">
        <f t="shared" si="7"/>
        <v>2858.4</v>
      </c>
      <c r="L15" s="10">
        <f t="shared" si="7"/>
        <v>3176</v>
      </c>
      <c r="M15" s="10">
        <f t="shared" si="7"/>
        <v>3493.6</v>
      </c>
      <c r="N15" s="10">
        <f t="shared" si="7"/>
        <v>3811.2</v>
      </c>
      <c r="O15" s="10">
        <f t="shared" si="7"/>
        <v>4128.8</v>
      </c>
      <c r="P15" s="10">
        <f t="shared" si="7"/>
        <v>4446.3999999999996</v>
      </c>
      <c r="Q15" s="10">
        <f t="shared" si="7"/>
        <v>4764</v>
      </c>
      <c r="R15" s="10">
        <f t="shared" si="7"/>
        <v>5081.6000000000004</v>
      </c>
    </row>
    <row r="16" spans="1:18" ht="15" customHeight="1" x14ac:dyDescent="0.35">
      <c r="A16" s="47" t="s">
        <v>57</v>
      </c>
      <c r="B16" s="47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13</v>
      </c>
      <c r="H16" s="23">
        <f>$E$16*$G$16/$F$16</f>
        <v>2972.6666666666665</v>
      </c>
      <c r="I16" s="10">
        <f>$E$16*($G$16+I4)/$F$16</f>
        <v>3201.3333333333335</v>
      </c>
      <c r="J16" s="10">
        <f>$E$16*($G$16+J4)/$F$16</f>
        <v>3430</v>
      </c>
      <c r="K16" s="10">
        <f t="shared" ref="K16:R16" si="8">$E$16*($G$16+K4)/$F$16</f>
        <v>3658.6666666666665</v>
      </c>
      <c r="L16" s="10">
        <f t="shared" si="8"/>
        <v>3887.3333333333335</v>
      </c>
      <c r="M16" s="10">
        <f t="shared" si="8"/>
        <v>4116</v>
      </c>
      <c r="N16" s="10">
        <f t="shared" si="8"/>
        <v>4344.666666666667</v>
      </c>
      <c r="O16" s="10">
        <f t="shared" si="8"/>
        <v>4573.333333333333</v>
      </c>
      <c r="P16" s="10">
        <f t="shared" si="8"/>
        <v>4802</v>
      </c>
      <c r="Q16" s="10">
        <f t="shared" si="8"/>
        <v>5030.666666666667</v>
      </c>
      <c r="R16" s="10">
        <f t="shared" si="8"/>
        <v>5259.333333333333</v>
      </c>
    </row>
    <row r="17" spans="1:18" x14ac:dyDescent="0.35">
      <c r="A17" s="47" t="s">
        <v>58</v>
      </c>
      <c r="B17" s="47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12</v>
      </c>
      <c r="H17" s="23">
        <f>$E$17*$G$17/$F$17</f>
        <v>768</v>
      </c>
      <c r="I17" s="10">
        <f>$E$17*($G$17+I4)/$F$17</f>
        <v>832</v>
      </c>
      <c r="J17" s="10">
        <f t="shared" ref="J17:R17" si="9">$E$17*($G$17+J4)/$F$17</f>
        <v>896</v>
      </c>
      <c r="K17" s="10">
        <f t="shared" si="9"/>
        <v>960</v>
      </c>
      <c r="L17" s="10">
        <f t="shared" si="9"/>
        <v>1024</v>
      </c>
      <c r="M17" s="10">
        <f t="shared" si="9"/>
        <v>1088</v>
      </c>
      <c r="N17" s="10">
        <f t="shared" si="9"/>
        <v>1152</v>
      </c>
      <c r="O17" s="10">
        <f t="shared" si="9"/>
        <v>1216</v>
      </c>
      <c r="P17" s="10">
        <f t="shared" si="9"/>
        <v>1280</v>
      </c>
      <c r="Q17" s="10">
        <f t="shared" si="9"/>
        <v>1344</v>
      </c>
      <c r="R17" s="10">
        <f t="shared" si="9"/>
        <v>1408</v>
      </c>
    </row>
    <row r="18" spans="1:18" x14ac:dyDescent="0.35">
      <c r="H18" s="23"/>
      <c r="I18" s="10"/>
      <c r="J18" s="10"/>
      <c r="K18" s="10"/>
      <c r="L18" s="10"/>
    </row>
    <row r="19" spans="1:18" x14ac:dyDescent="0.35">
      <c r="A19" s="53" t="s">
        <v>38</v>
      </c>
      <c r="B19" s="53"/>
      <c r="C19" s="53"/>
      <c r="D19" s="53"/>
      <c r="E19" s="53"/>
      <c r="H19" s="23">
        <f>SUM(H9:H17)</f>
        <v>30270.906666666666</v>
      </c>
      <c r="I19" s="23">
        <f t="shared" ref="I19:R19" si="10">SUM(I9:I17)</f>
        <v>32489.853333333333</v>
      </c>
      <c r="J19" s="23">
        <f t="shared" si="10"/>
        <v>34708.800000000003</v>
      </c>
      <c r="K19" s="23">
        <f t="shared" si="10"/>
        <v>36927.746666666666</v>
      </c>
      <c r="L19" s="23">
        <f t="shared" si="10"/>
        <v>39146.693333333336</v>
      </c>
      <c r="M19" s="23">
        <f t="shared" si="10"/>
        <v>41365.64</v>
      </c>
      <c r="N19" s="23">
        <f t="shared" si="10"/>
        <v>43584.586666666662</v>
      </c>
      <c r="O19" s="23">
        <f t="shared" si="10"/>
        <v>45803.53333333334</v>
      </c>
      <c r="P19" s="23">
        <f t="shared" si="10"/>
        <v>48022.48</v>
      </c>
      <c r="Q19" s="23">
        <f t="shared" si="10"/>
        <v>50241.426666666666</v>
      </c>
      <c r="R19" s="23">
        <f t="shared" si="10"/>
        <v>52460.373333333337</v>
      </c>
    </row>
    <row r="20" spans="1:18" x14ac:dyDescent="0.35">
      <c r="A20" t="s">
        <v>70</v>
      </c>
      <c r="H20" s="23">
        <f>H19</f>
        <v>30270.906666666666</v>
      </c>
      <c r="I20" s="23">
        <f>I19*(1+'Data input'!$D$23/100)^I4</f>
        <v>32814.751866666666</v>
      </c>
      <c r="J20" s="23">
        <f>J19*(1+'Data input'!$D$23/100)^J4</f>
        <v>35406.446880000003</v>
      </c>
      <c r="K20" s="23">
        <f>K19*(1+'Data input'!$D$23/100)^K4</f>
        <v>38046.694318413327</v>
      </c>
      <c r="L20" s="23">
        <f>L19*(1+'Data input'!$D$23/100)^L4</f>
        <v>40736.206060906938</v>
      </c>
      <c r="M20" s="23">
        <f>M19*(1+'Data input'!$D$23/100)^M4</f>
        <v>43475.703368818562</v>
      </c>
      <c r="N20" s="23">
        <f>N19*(1+'Data input'!$D$23/100)^N4</f>
        <v>46265.917002282338</v>
      </c>
      <c r="O20" s="23">
        <f>O19*(1+'Data input'!$D$23/100)^O4</f>
        <v>49107.587338078505</v>
      </c>
      <c r="P20" s="23">
        <f>P19*(1+'Data input'!$D$23/100)^P4</f>
        <v>52001.464488890371</v>
      </c>
      <c r="Q20" s="23">
        <f>Q19*(1+'Data input'!$D$23/100)^Q4</f>
        <v>54948.308423984665</v>
      </c>
      <c r="R20" s="23">
        <f>R19*(1+'Data input'!$D$23/100)^R4</f>
        <v>57948.889091331956</v>
      </c>
    </row>
    <row r="21" spans="1:18" x14ac:dyDescent="0.35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5">
      <c r="A22" t="s">
        <v>103</v>
      </c>
      <c r="H22" s="23">
        <f>'Data input'!D35</f>
        <v>20624</v>
      </c>
      <c r="I22" s="10">
        <f>H22+$P$28</f>
        <v>23474</v>
      </c>
      <c r="J22" s="10">
        <f>I22+$P$28</f>
        <v>26324</v>
      </c>
      <c r="K22" s="10">
        <f t="shared" ref="K22:R22" si="11">J22+$P$28</f>
        <v>29174</v>
      </c>
      <c r="L22" s="10">
        <f t="shared" si="11"/>
        <v>32024</v>
      </c>
      <c r="M22" s="10">
        <f t="shared" si="11"/>
        <v>34874</v>
      </c>
      <c r="N22" s="10">
        <f t="shared" si="11"/>
        <v>37724</v>
      </c>
      <c r="O22" s="10">
        <f t="shared" si="11"/>
        <v>40574</v>
      </c>
      <c r="P22" s="10">
        <f t="shared" si="11"/>
        <v>43424</v>
      </c>
      <c r="Q22" s="10">
        <f t="shared" si="11"/>
        <v>46274</v>
      </c>
      <c r="R22" s="10">
        <f t="shared" si="11"/>
        <v>49124</v>
      </c>
    </row>
    <row r="23" spans="1:18" x14ac:dyDescent="0.35">
      <c r="A23" t="s">
        <v>40</v>
      </c>
      <c r="H23" s="23">
        <f>H20-H22</f>
        <v>9646.9066666666658</v>
      </c>
      <c r="I23" s="10">
        <f>I20-I22</f>
        <v>9340.7518666666656</v>
      </c>
      <c r="J23" s="10">
        <f t="shared" ref="J23:R23" si="12">J20-J22</f>
        <v>9082.4468800000031</v>
      </c>
      <c r="K23" s="10">
        <f t="shared" si="12"/>
        <v>8872.694318413327</v>
      </c>
      <c r="L23" s="10">
        <f t="shared" si="12"/>
        <v>8712.2060609069376</v>
      </c>
      <c r="M23" s="10">
        <f t="shared" si="12"/>
        <v>8601.703368818562</v>
      </c>
      <c r="N23" s="10">
        <f t="shared" si="12"/>
        <v>8541.9170022823382</v>
      </c>
      <c r="O23" s="10">
        <f t="shared" si="12"/>
        <v>8533.5873380785051</v>
      </c>
      <c r="P23" s="10">
        <f t="shared" si="12"/>
        <v>8577.4644888903713</v>
      </c>
      <c r="Q23" s="10">
        <f t="shared" si="12"/>
        <v>8674.3084239846648</v>
      </c>
      <c r="R23" s="10">
        <f t="shared" si="12"/>
        <v>8824.8890913319556</v>
      </c>
    </row>
    <row r="24" spans="1:18" x14ac:dyDescent="0.35">
      <c r="A24" t="s">
        <v>41</v>
      </c>
      <c r="H24" s="23">
        <f>H23/'Data input'!$L$11</f>
        <v>1378.1295238095238</v>
      </c>
      <c r="I24" s="10">
        <f>I23/'Data input'!$L$11</f>
        <v>1334.3931238095236</v>
      </c>
      <c r="J24" s="10">
        <f>J23/'Data input'!$L$11</f>
        <v>1297.4924114285718</v>
      </c>
      <c r="K24" s="10">
        <f>K23/'Data input'!$L$11</f>
        <v>1267.5277597733325</v>
      </c>
      <c r="L24" s="10">
        <f>L23/'Data input'!$L$11</f>
        <v>1244.6008658438482</v>
      </c>
      <c r="M24" s="10">
        <f>M23/'Data input'!$L$11</f>
        <v>1228.8147669740804</v>
      </c>
      <c r="N24" s="10">
        <f>N23/'Data input'!$L$11</f>
        <v>1220.2738574689054</v>
      </c>
      <c r="O24" s="10">
        <f>O23/'Data input'!$L$11</f>
        <v>1219.0839054397863</v>
      </c>
      <c r="P24" s="10">
        <f>P23/'Data input'!$L$11</f>
        <v>1225.3520698414816</v>
      </c>
      <c r="Q24" s="10">
        <f>Q23/'Data input'!$L$11</f>
        <v>1239.186917712095</v>
      </c>
      <c r="R24" s="10">
        <f>R23/'Data input'!$L$11</f>
        <v>1260.6984416188509</v>
      </c>
    </row>
    <row r="25" spans="1:18" x14ac:dyDescent="0.35">
      <c r="A25" s="8" t="s">
        <v>42</v>
      </c>
      <c r="B25" s="8"/>
      <c r="C25" s="8"/>
      <c r="D25" s="8"/>
      <c r="E25" s="8"/>
      <c r="H25" s="23">
        <f>100*H22/H20</f>
        <v>68.131424760760382</v>
      </c>
      <c r="I25" s="10">
        <f>100*I22/I20</f>
        <v>71.534900203968832</v>
      </c>
      <c r="J25" s="10">
        <f t="shared" ref="J25:R25" si="13">100*J22/J20</f>
        <v>74.348042008331561</v>
      </c>
      <c r="K25" s="10">
        <f t="shared" si="13"/>
        <v>76.679460653906958</v>
      </c>
      <c r="L25" s="10">
        <f t="shared" si="13"/>
        <v>78.613113730127836</v>
      </c>
      <c r="M25" s="10">
        <f t="shared" si="13"/>
        <v>80.214918443417673</v>
      </c>
      <c r="N25" s="10">
        <f t="shared" si="13"/>
        <v>81.537344214184799</v>
      </c>
      <c r="O25" s="10">
        <f t="shared" si="13"/>
        <v>82.622670343526579</v>
      </c>
      <c r="P25" s="10">
        <f t="shared" si="13"/>
        <v>83.505340526086783</v>
      </c>
      <c r="Q25" s="10">
        <f t="shared" si="13"/>
        <v>84.213693427915658</v>
      </c>
      <c r="R25" s="10">
        <f t="shared" si="13"/>
        <v>84.771254065935167</v>
      </c>
    </row>
    <row r="27" spans="1:18" ht="15" thickBot="1" x14ac:dyDescent="0.4">
      <c r="A27" t="s">
        <v>60</v>
      </c>
    </row>
    <row r="28" spans="1:18" ht="15" customHeight="1" x14ac:dyDescent="0.35">
      <c r="B28" s="46"/>
      <c r="C28" s="46"/>
      <c r="D28" s="46"/>
      <c r="E28" s="46"/>
      <c r="F28" s="47" t="s">
        <v>71</v>
      </c>
      <c r="G28" s="47"/>
      <c r="H28" s="47"/>
      <c r="I28" s="47"/>
      <c r="J28">
        <f>('Data input'!K11*'Data input'!L11+'Data input'!K17)*4</f>
        <v>3600</v>
      </c>
      <c r="K28" s="11"/>
      <c r="M28" s="68" t="s">
        <v>44</v>
      </c>
      <c r="N28" s="69"/>
      <c r="O28" s="69"/>
      <c r="P28" s="72">
        <f>J28-J29</f>
        <v>2850</v>
      </c>
      <c r="Q28" s="18"/>
    </row>
    <row r="29" spans="1:18" ht="15" customHeight="1" thickBot="1" x14ac:dyDescent="0.4">
      <c r="B29" s="47" t="s">
        <v>74</v>
      </c>
      <c r="C29" s="47"/>
      <c r="D29" s="47"/>
      <c r="E29" s="47"/>
      <c r="F29" s="47"/>
      <c r="G29" s="47"/>
      <c r="H29" s="47"/>
      <c r="I29" s="47"/>
      <c r="J29" s="19">
        <v>750</v>
      </c>
      <c r="K29" s="9"/>
      <c r="M29" s="70"/>
      <c r="N29" s="71"/>
      <c r="O29" s="71"/>
      <c r="P29" s="73"/>
      <c r="Q29" s="18"/>
    </row>
    <row r="30" spans="1:18" x14ac:dyDescent="0.35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5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5">
      <c r="B33" s="13"/>
      <c r="C33" s="13"/>
      <c r="D33" s="13"/>
    </row>
    <row r="36" spans="2:5" x14ac:dyDescent="0.35">
      <c r="E36" s="9"/>
    </row>
    <row r="37" spans="2:5" x14ac:dyDescent="0.35">
      <c r="E37" s="9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workbookViewId="0">
      <selection activeCell="U13" sqref="U13"/>
    </sheetView>
  </sheetViews>
  <sheetFormatPr defaultRowHeight="14.5" x14ac:dyDescent="0.35"/>
  <sheetData>
    <row r="1" spans="1:19" ht="15" customHeight="1" x14ac:dyDescent="0.35">
      <c r="F1" s="50" t="s">
        <v>97</v>
      </c>
      <c r="G1" s="50"/>
      <c r="H1" s="50"/>
      <c r="I1" s="50"/>
      <c r="J1" s="50"/>
      <c r="K1" s="50" t="str">
        <f>'Data input'!H4</f>
        <v>February</v>
      </c>
      <c r="L1" s="50"/>
      <c r="M1" s="50">
        <f>'Data input'!D4</f>
        <v>2022</v>
      </c>
    </row>
    <row r="2" spans="1:19" ht="15" customHeight="1" x14ac:dyDescent="0.35">
      <c r="F2" s="50"/>
      <c r="G2" s="50"/>
      <c r="H2" s="50"/>
      <c r="I2" s="50"/>
      <c r="J2" s="50"/>
      <c r="K2" s="50"/>
      <c r="L2" s="50"/>
      <c r="M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M1</f>
        <v>2022</v>
      </c>
      <c r="H5" s="54"/>
      <c r="I5" s="1">
        <f>G5+1</f>
        <v>2023</v>
      </c>
      <c r="J5" s="1">
        <f>I5+1</f>
        <v>2024</v>
      </c>
      <c r="K5" s="1">
        <f t="shared" ref="K5:M5" si="1">J5+1</f>
        <v>2025</v>
      </c>
      <c r="L5" s="1">
        <f t="shared" si="1"/>
        <v>2026</v>
      </c>
      <c r="M5" s="1">
        <f t="shared" si="1"/>
        <v>2027</v>
      </c>
      <c r="N5" s="1">
        <f t="shared" si="0"/>
        <v>2028</v>
      </c>
      <c r="O5" s="1">
        <f t="shared" si="0"/>
        <v>2029</v>
      </c>
      <c r="P5" s="1">
        <f t="shared" si="0"/>
        <v>2030</v>
      </c>
      <c r="Q5" s="1">
        <f t="shared" si="0"/>
        <v>2031</v>
      </c>
      <c r="R5" s="1">
        <f t="shared" si="0"/>
        <v>2032</v>
      </c>
      <c r="S5" s="1"/>
    </row>
    <row r="6" spans="1:19" ht="15" customHeight="1" x14ac:dyDescent="0.35">
      <c r="C6" s="46" t="s">
        <v>15</v>
      </c>
      <c r="D6" s="46"/>
      <c r="E6" t="s">
        <v>16</v>
      </c>
      <c r="F6" s="1" t="s">
        <v>17</v>
      </c>
      <c r="G6" s="24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20"/>
    </row>
    <row r="7" spans="1:19" ht="15" customHeight="1" x14ac:dyDescent="0.35">
      <c r="D7" t="s">
        <v>20</v>
      </c>
      <c r="E7" s="1" t="s">
        <v>21</v>
      </c>
      <c r="F7" s="1" t="s">
        <v>22</v>
      </c>
      <c r="G7" s="24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20"/>
    </row>
    <row r="8" spans="1:19" x14ac:dyDescent="0.35">
      <c r="A8" s="46" t="s">
        <v>55</v>
      </c>
      <c r="B8" s="46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5">
      <c r="A9" s="47" t="s">
        <v>34</v>
      </c>
      <c r="B9" s="47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22</v>
      </c>
      <c r="H9" s="23">
        <f>$E$9*$G$9/$F$9</f>
        <v>3300</v>
      </c>
      <c r="I9" s="10">
        <f>$E$9*($G$9+I4)/$F$9</f>
        <v>3450</v>
      </c>
      <c r="J9" s="10">
        <f t="shared" ref="J9:R9" si="2">$E$9*($G$9+J4)/$F$9</f>
        <v>3600</v>
      </c>
      <c r="K9" s="10">
        <f t="shared" si="2"/>
        <v>3750</v>
      </c>
      <c r="L9" s="10">
        <f t="shared" si="2"/>
        <v>3900</v>
      </c>
      <c r="M9" s="10">
        <f t="shared" si="2"/>
        <v>4050</v>
      </c>
      <c r="N9" s="10">
        <f t="shared" si="2"/>
        <v>4200</v>
      </c>
      <c r="O9" s="10">
        <f t="shared" si="2"/>
        <v>4350</v>
      </c>
      <c r="P9" s="10">
        <f t="shared" si="2"/>
        <v>4500</v>
      </c>
      <c r="Q9" s="10">
        <f t="shared" si="2"/>
        <v>4650</v>
      </c>
      <c r="R9" s="10">
        <f t="shared" si="2"/>
        <v>4800</v>
      </c>
    </row>
    <row r="10" spans="1:19" x14ac:dyDescent="0.35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23</v>
      </c>
      <c r="H10" s="23">
        <f>$E$10*$G$10/$F$10</f>
        <v>3036</v>
      </c>
      <c r="I10" s="10">
        <f>$E$10*($G$10+I4)/$F$10</f>
        <v>3168</v>
      </c>
      <c r="J10" s="10">
        <f t="shared" ref="J10:R10" si="3">$E$10*($G$10+J4)/$F$10</f>
        <v>3300</v>
      </c>
      <c r="K10" s="10">
        <f t="shared" si="3"/>
        <v>3432</v>
      </c>
      <c r="L10" s="10">
        <f t="shared" si="3"/>
        <v>3564</v>
      </c>
      <c r="M10" s="10">
        <f t="shared" si="3"/>
        <v>3696</v>
      </c>
      <c r="N10" s="10">
        <f t="shared" si="3"/>
        <v>3828</v>
      </c>
      <c r="O10" s="10">
        <f t="shared" si="3"/>
        <v>3960</v>
      </c>
      <c r="P10" s="10">
        <f t="shared" si="3"/>
        <v>4092</v>
      </c>
      <c r="Q10" s="10">
        <f t="shared" si="3"/>
        <v>4224</v>
      </c>
      <c r="R10" s="10">
        <f t="shared" si="3"/>
        <v>4356</v>
      </c>
    </row>
    <row r="11" spans="1:19" x14ac:dyDescent="0.35">
      <c r="B11" s="2" t="s">
        <v>98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6</v>
      </c>
      <c r="H11" s="23">
        <f>$E$11*$G$11/$F$11</f>
        <v>1800</v>
      </c>
      <c r="I11" s="28">
        <f>$E$11*($G$11+I4)/$F$11</f>
        <v>2100</v>
      </c>
      <c r="J11" s="28">
        <f t="shared" ref="J11:R11" si="4">$E$11*($G$11+J4)/$F$11</f>
        <v>2400</v>
      </c>
      <c r="K11" s="28">
        <f t="shared" si="4"/>
        <v>2700</v>
      </c>
      <c r="L11" s="28">
        <f t="shared" si="4"/>
        <v>3000</v>
      </c>
      <c r="M11" s="28">
        <f t="shared" si="4"/>
        <v>3300</v>
      </c>
      <c r="N11" s="28">
        <f t="shared" si="4"/>
        <v>3600</v>
      </c>
      <c r="O11" s="28">
        <f t="shared" si="4"/>
        <v>3900</v>
      </c>
      <c r="P11" s="28">
        <f t="shared" si="4"/>
        <v>4200</v>
      </c>
      <c r="Q11" s="28">
        <f t="shared" si="4"/>
        <v>4500</v>
      </c>
      <c r="R11" s="28">
        <f t="shared" si="4"/>
        <v>4800</v>
      </c>
    </row>
    <row r="12" spans="1:19" x14ac:dyDescent="0.35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23</v>
      </c>
      <c r="H12" s="23">
        <f>$E$12*$G$12/$F$12</f>
        <v>647.67999999999995</v>
      </c>
      <c r="I12" s="10">
        <f>$E$12*($G$12+I4)/$F$12</f>
        <v>675.84</v>
      </c>
      <c r="J12" s="10">
        <f t="shared" ref="J12:R12" si="6">$E$12*($G$12+J4)/$F$12</f>
        <v>704</v>
      </c>
      <c r="K12" s="10">
        <f t="shared" si="6"/>
        <v>732.16</v>
      </c>
      <c r="L12" s="10">
        <f t="shared" si="6"/>
        <v>760.32</v>
      </c>
      <c r="M12" s="10">
        <f t="shared" si="6"/>
        <v>788.48</v>
      </c>
      <c r="N12" s="10">
        <f t="shared" si="6"/>
        <v>816.64</v>
      </c>
      <c r="O12" s="10">
        <f t="shared" si="6"/>
        <v>844.8</v>
      </c>
      <c r="P12" s="10">
        <f t="shared" si="6"/>
        <v>872.96</v>
      </c>
      <c r="Q12" s="10">
        <f t="shared" si="6"/>
        <v>901.12</v>
      </c>
      <c r="R12" s="10">
        <f t="shared" si="6"/>
        <v>929.28</v>
      </c>
    </row>
    <row r="13" spans="1:19" x14ac:dyDescent="0.35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10</v>
      </c>
      <c r="H13" s="23">
        <f>$E$13*$G$13/$F$13</f>
        <v>250</v>
      </c>
      <c r="I13" s="10">
        <f>$E$13*($G$13+I4)/$F$13</f>
        <v>275</v>
      </c>
      <c r="J13" s="10">
        <f t="shared" ref="J13:R13" si="7">$E$13*($G$13+J4)/$F$13</f>
        <v>300</v>
      </c>
      <c r="K13" s="10">
        <f t="shared" si="7"/>
        <v>325</v>
      </c>
      <c r="L13" s="10">
        <f t="shared" si="7"/>
        <v>350</v>
      </c>
      <c r="M13" s="10">
        <f t="shared" si="7"/>
        <v>375</v>
      </c>
      <c r="N13" s="10">
        <f t="shared" si="7"/>
        <v>400</v>
      </c>
      <c r="O13" s="10">
        <f t="shared" si="7"/>
        <v>425</v>
      </c>
      <c r="P13" s="10">
        <f t="shared" si="7"/>
        <v>450</v>
      </c>
      <c r="Q13" s="10">
        <f t="shared" si="7"/>
        <v>475</v>
      </c>
      <c r="R13" s="10">
        <f t="shared" si="7"/>
        <v>500</v>
      </c>
    </row>
    <row r="14" spans="1:19" x14ac:dyDescent="0.35">
      <c r="H14" s="23"/>
      <c r="I14" s="10"/>
      <c r="J14" s="10"/>
      <c r="K14" s="10"/>
      <c r="L14" s="10"/>
    </row>
    <row r="15" spans="1:19" x14ac:dyDescent="0.35">
      <c r="A15" s="53" t="s">
        <v>38</v>
      </c>
      <c r="B15" s="53"/>
      <c r="C15" s="53"/>
      <c r="D15" s="53"/>
      <c r="E15" s="53"/>
      <c r="H15" s="23">
        <f>SUM(H9:H13)</f>
        <v>9033.68</v>
      </c>
      <c r="I15" s="23">
        <f t="shared" ref="I15:R15" si="8">SUM(I9:I13)</f>
        <v>9668.84</v>
      </c>
      <c r="J15" s="23">
        <f t="shared" si="8"/>
        <v>10304</v>
      </c>
      <c r="K15" s="23">
        <f t="shared" si="8"/>
        <v>10939.16</v>
      </c>
      <c r="L15" s="23">
        <f t="shared" si="8"/>
        <v>11574.32</v>
      </c>
      <c r="M15" s="23">
        <f t="shared" si="8"/>
        <v>12209.48</v>
      </c>
      <c r="N15" s="23">
        <f t="shared" si="8"/>
        <v>12844.64</v>
      </c>
      <c r="O15" s="23">
        <f t="shared" si="8"/>
        <v>13479.8</v>
      </c>
      <c r="P15" s="23">
        <f t="shared" si="8"/>
        <v>14114.96</v>
      </c>
      <c r="Q15" s="23">
        <f t="shared" si="8"/>
        <v>14750.12</v>
      </c>
      <c r="R15" s="23">
        <f t="shared" si="8"/>
        <v>15385.28</v>
      </c>
      <c r="S15" s="10"/>
    </row>
    <row r="16" spans="1:19" x14ac:dyDescent="0.35">
      <c r="A16" s="8" t="s">
        <v>70</v>
      </c>
      <c r="B16" s="8"/>
      <c r="C16" s="8"/>
      <c r="D16" s="8"/>
      <c r="E16" s="8"/>
      <c r="H16" s="23">
        <f>H15</f>
        <v>9033.68</v>
      </c>
      <c r="I16" s="10">
        <f>I15*(1+'Data input'!$D$23/100)^I4</f>
        <v>9765.5284000000011</v>
      </c>
      <c r="J16" s="10">
        <f>J15*(1+'Data input'!$D$23/100)^J4</f>
        <v>10511.1104</v>
      </c>
      <c r="K16" s="10">
        <f>K15*(1+'Data input'!$D$23/100)^K4</f>
        <v>11270.627487159998</v>
      </c>
      <c r="L16" s="10">
        <f>L15*(1+'Data input'!$D$23/100)^L4</f>
        <v>12044.2838050232</v>
      </c>
      <c r="M16" s="10">
        <f>M15*(1+'Data input'!$D$23/100)^M4</f>
        <v>12832.286186494946</v>
      </c>
      <c r="N16" s="10">
        <f>N15*(1+'Data input'!$D$23/100)^N4</f>
        <v>13634.844187215629</v>
      </c>
      <c r="O16" s="10">
        <f>O15*(1+'Data input'!$D$23/100)^O4</f>
        <v>14452.17011933207</v>
      </c>
      <c r="P16" s="10">
        <f>P15*(1+'Data input'!$D$23/100)^P4</f>
        <v>15284.479085672127</v>
      </c>
      <c r="Q16" s="10">
        <f>Q15*(1+'Data input'!$D$23/100)^Q4</f>
        <v>16131.98901432705</v>
      </c>
      <c r="R16" s="10">
        <f>R15*(1+'Data input'!$D$23/100)^R4</f>
        <v>16994.920693646502</v>
      </c>
      <c r="S16" s="10"/>
    </row>
    <row r="17" spans="1:19" x14ac:dyDescent="0.35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5">
      <c r="A18" s="53" t="s">
        <v>103</v>
      </c>
      <c r="B18" s="53"/>
      <c r="C18" s="53"/>
      <c r="D18" s="53"/>
      <c r="E18" s="53"/>
      <c r="H18" s="23">
        <f>'Data input'!D36</f>
        <v>1738</v>
      </c>
      <c r="I18" s="10">
        <f>H18+$N$26</f>
        <v>2708</v>
      </c>
      <c r="J18" s="10">
        <f>I18+$N$26</f>
        <v>3678</v>
      </c>
      <c r="K18" s="10">
        <f t="shared" ref="K18:R18" si="9">J18+$N$26</f>
        <v>4648</v>
      </c>
      <c r="L18" s="10">
        <f t="shared" si="9"/>
        <v>5618</v>
      </c>
      <c r="M18" s="10">
        <f t="shared" si="9"/>
        <v>6588</v>
      </c>
      <c r="N18" s="10">
        <f t="shared" si="9"/>
        <v>7558</v>
      </c>
      <c r="O18" s="10">
        <f t="shared" si="9"/>
        <v>8528</v>
      </c>
      <c r="P18" s="10">
        <f t="shared" si="9"/>
        <v>9498</v>
      </c>
      <c r="Q18" s="10">
        <f t="shared" si="9"/>
        <v>10468</v>
      </c>
      <c r="R18" s="10">
        <f t="shared" si="9"/>
        <v>11438</v>
      </c>
      <c r="S18" s="10"/>
    </row>
    <row r="19" spans="1:19" x14ac:dyDescent="0.35">
      <c r="A19" s="53" t="s">
        <v>40</v>
      </c>
      <c r="B19" s="53"/>
      <c r="C19" s="53"/>
      <c r="D19" s="53"/>
      <c r="E19" s="53"/>
      <c r="H19" s="23">
        <f>H16-H18</f>
        <v>7295.68</v>
      </c>
      <c r="I19" s="10">
        <f t="shared" ref="I19:Q19" si="10">I16-I18</f>
        <v>7057.5284000000011</v>
      </c>
      <c r="J19" s="10">
        <f t="shared" si="10"/>
        <v>6833.1103999999996</v>
      </c>
      <c r="K19" s="10">
        <f t="shared" si="10"/>
        <v>6622.6274871599981</v>
      </c>
      <c r="L19" s="10">
        <f t="shared" si="10"/>
        <v>6426.2838050232003</v>
      </c>
      <c r="M19" s="10">
        <f t="shared" si="10"/>
        <v>6244.2861864949464</v>
      </c>
      <c r="N19" s="10">
        <f t="shared" si="10"/>
        <v>6076.8441872156291</v>
      </c>
      <c r="O19" s="10">
        <f t="shared" si="10"/>
        <v>5924.1701193320696</v>
      </c>
      <c r="P19" s="10">
        <f t="shared" si="10"/>
        <v>5786.4790856721265</v>
      </c>
      <c r="Q19" s="10">
        <f t="shared" si="10"/>
        <v>5663.9890143270495</v>
      </c>
      <c r="R19" s="10">
        <f>R16-R18</f>
        <v>5556.9206936465016</v>
      </c>
      <c r="S19" s="10"/>
    </row>
    <row r="20" spans="1:19" x14ac:dyDescent="0.35">
      <c r="A20" s="53" t="s">
        <v>41</v>
      </c>
      <c r="B20" s="53"/>
      <c r="C20" s="53"/>
      <c r="D20" s="53"/>
      <c r="E20" s="53"/>
      <c r="H20" s="23">
        <f>H19/'Data input'!$L$12</f>
        <v>3647.84</v>
      </c>
      <c r="I20" s="10">
        <f>I19/'Data input'!$L$12</f>
        <v>3528.7642000000005</v>
      </c>
      <c r="J20" s="10">
        <f>J19/'Data input'!$L$12</f>
        <v>3416.5551999999998</v>
      </c>
      <c r="K20" s="10">
        <f>K19/'Data input'!$L$12</f>
        <v>3311.313743579999</v>
      </c>
      <c r="L20" s="10">
        <f>L19/'Data input'!$L$12</f>
        <v>3213.1419025116002</v>
      </c>
      <c r="M20" s="10">
        <f>M19/'Data input'!$L$12</f>
        <v>3122.1430932474732</v>
      </c>
      <c r="N20" s="10">
        <f>N19/'Data input'!$L$12</f>
        <v>3038.4220936078145</v>
      </c>
      <c r="O20" s="10">
        <f>O19/'Data input'!$L$12</f>
        <v>2962.0850596660348</v>
      </c>
      <c r="P20" s="10">
        <f>P19/'Data input'!$L$12</f>
        <v>2893.2395428360633</v>
      </c>
      <c r="Q20" s="10">
        <f>Q19/'Data input'!$L$12</f>
        <v>2831.9945071635248</v>
      </c>
      <c r="R20" s="10">
        <f>R19/'Data input'!$L$12</f>
        <v>2778.4603468232508</v>
      </c>
      <c r="S20" s="10"/>
    </row>
    <row r="21" spans="1:19" x14ac:dyDescent="0.35">
      <c r="A21" s="8" t="s">
        <v>42</v>
      </c>
      <c r="B21" s="8"/>
      <c r="C21" s="8"/>
      <c r="D21" s="8"/>
      <c r="E21" s="8"/>
      <c r="H21" s="23">
        <f>100*H18/H16</f>
        <v>19.239114070899124</v>
      </c>
      <c r="I21" s="10">
        <f>100*I18/I16</f>
        <v>27.730194302645209</v>
      </c>
      <c r="J21" s="10">
        <f t="shared" ref="J21:R21" si="11">100*J18/J16</f>
        <v>34.991545707673282</v>
      </c>
      <c r="K21" s="10">
        <f t="shared" si="11"/>
        <v>41.239939881743133</v>
      </c>
      <c r="L21" s="10">
        <f t="shared" si="11"/>
        <v>46.64453354758173</v>
      </c>
      <c r="M21" s="10">
        <f t="shared" si="11"/>
        <v>51.339254005520807</v>
      </c>
      <c r="N21" s="10">
        <f t="shared" si="11"/>
        <v>55.431509859764809</v>
      </c>
      <c r="O21" s="10">
        <f t="shared" si="11"/>
        <v>59.008439075820505</v>
      </c>
      <c r="P21" s="10">
        <f t="shared" si="11"/>
        <v>62.141470093694927</v>
      </c>
      <c r="Q21" s="10">
        <f t="shared" si="11"/>
        <v>64.889704491511992</v>
      </c>
      <c r="R21" s="10">
        <f t="shared" si="11"/>
        <v>67.302461754211421</v>
      </c>
      <c r="S21" s="10"/>
    </row>
    <row r="23" spans="1:19" x14ac:dyDescent="0.35">
      <c r="A23" t="s">
        <v>60</v>
      </c>
    </row>
    <row r="24" spans="1:19" x14ac:dyDescent="0.35">
      <c r="F24" s="9"/>
    </row>
    <row r="25" spans="1:19" ht="15" thickBot="1" x14ac:dyDescent="0.4"/>
    <row r="26" spans="1:19" x14ac:dyDescent="0.35">
      <c r="D26" s="47" t="s">
        <v>71</v>
      </c>
      <c r="E26" s="47"/>
      <c r="F26" s="47"/>
      <c r="G26" s="47"/>
      <c r="H26">
        <f>'Data input'!K12*'Data input'!L12*4</f>
        <v>1120</v>
      </c>
      <c r="J26" s="74" t="s">
        <v>44</v>
      </c>
      <c r="K26" s="75"/>
      <c r="L26" s="75"/>
      <c r="M26" s="75"/>
      <c r="N26" s="78">
        <f>H26-H27</f>
        <v>970</v>
      </c>
    </row>
    <row r="27" spans="1:19" ht="15" thickBot="1" x14ac:dyDescent="0.4">
      <c r="B27" s="47" t="s">
        <v>75</v>
      </c>
      <c r="C27" s="47"/>
      <c r="D27" s="47"/>
      <c r="E27" s="47"/>
      <c r="F27" s="47"/>
      <c r="G27" s="47"/>
      <c r="H27" s="19">
        <v>150</v>
      </c>
      <c r="J27" s="76"/>
      <c r="K27" s="77"/>
      <c r="L27" s="77"/>
      <c r="M27" s="77"/>
      <c r="N27" s="79"/>
    </row>
    <row r="28" spans="1:19" x14ac:dyDescent="0.35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5">
      <c r="B31" s="13"/>
      <c r="C31" s="13"/>
      <c r="D31" s="13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K1" sqref="K1:L2"/>
    </sheetView>
  </sheetViews>
  <sheetFormatPr defaultRowHeight="14.5" x14ac:dyDescent="0.35"/>
  <sheetData>
    <row r="1" spans="1:18" ht="15" customHeight="1" x14ac:dyDescent="0.35">
      <c r="F1" s="50" t="s">
        <v>76</v>
      </c>
      <c r="G1" s="50"/>
      <c r="H1" s="50"/>
      <c r="I1" s="50"/>
      <c r="J1" s="50"/>
      <c r="K1" s="50" t="str">
        <f>'Data input'!H4</f>
        <v>February</v>
      </c>
      <c r="L1" s="50"/>
      <c r="M1" s="50">
        <f>'Data input'!D4</f>
        <v>2022</v>
      </c>
    </row>
    <row r="2" spans="1:18" x14ac:dyDescent="0.35">
      <c r="F2" s="50"/>
      <c r="G2" s="50"/>
      <c r="H2" s="50"/>
      <c r="I2" s="50"/>
      <c r="J2" s="50"/>
      <c r="K2" s="50"/>
      <c r="L2" s="50"/>
      <c r="M2" s="50"/>
    </row>
    <row r="4" spans="1:18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5">
      <c r="E5" s="1" t="s">
        <v>14</v>
      </c>
      <c r="G5" s="54">
        <f>M1</f>
        <v>2022</v>
      </c>
      <c r="H5" s="54"/>
      <c r="I5" s="1">
        <f>G5+1</f>
        <v>2023</v>
      </c>
      <c r="J5" s="1">
        <f>I5+1</f>
        <v>2024</v>
      </c>
      <c r="K5" s="1">
        <f t="shared" ref="K5:M5" si="1">J5+1</f>
        <v>2025</v>
      </c>
      <c r="L5" s="1">
        <f t="shared" si="1"/>
        <v>2026</v>
      </c>
      <c r="M5" s="1">
        <f t="shared" si="1"/>
        <v>2027</v>
      </c>
      <c r="N5" s="1">
        <f t="shared" si="0"/>
        <v>2028</v>
      </c>
      <c r="O5" s="1">
        <f t="shared" si="0"/>
        <v>2029</v>
      </c>
      <c r="P5" s="1">
        <f t="shared" si="0"/>
        <v>2030</v>
      </c>
      <c r="Q5" s="1">
        <f t="shared" si="0"/>
        <v>2031</v>
      </c>
      <c r="R5" s="1">
        <f t="shared" si="0"/>
        <v>2032</v>
      </c>
    </row>
    <row r="6" spans="1:18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124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5">
      <c r="A9" s="47" t="s">
        <v>69</v>
      </c>
      <c r="B9" s="47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6</v>
      </c>
      <c r="H9" s="23">
        <f>$E$9*$G$9/$F$9</f>
        <v>1876.2</v>
      </c>
      <c r="I9" s="10">
        <f>$E$9*($G$9+I4)/$F$9</f>
        <v>2188.9</v>
      </c>
      <c r="J9" s="10">
        <f>$E$9*($G$9+J4)/$F$9</f>
        <v>2501.6</v>
      </c>
      <c r="K9" s="10">
        <f t="shared" ref="K9:R9" si="2">$E$9*($G$9+K4)/$F$9</f>
        <v>2814.3</v>
      </c>
      <c r="L9" s="10">
        <f t="shared" si="2"/>
        <v>3127</v>
      </c>
      <c r="M9" s="10">
        <f t="shared" si="2"/>
        <v>3439.7</v>
      </c>
      <c r="N9" s="10">
        <f t="shared" si="2"/>
        <v>3752.4</v>
      </c>
      <c r="O9" s="10">
        <f t="shared" si="2"/>
        <v>4065.1</v>
      </c>
      <c r="P9" s="10">
        <f t="shared" si="2"/>
        <v>4377.8</v>
      </c>
      <c r="Q9" s="10">
        <f t="shared" si="2"/>
        <v>4690.5</v>
      </c>
      <c r="R9" s="10">
        <f t="shared" si="2"/>
        <v>5003.2</v>
      </c>
    </row>
    <row r="10" spans="1:18" x14ac:dyDescent="0.35">
      <c r="A10" s="47" t="s">
        <v>57</v>
      </c>
      <c r="B10" s="47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13</v>
      </c>
      <c r="H10" s="23">
        <f>$E$10*$G$10/$F$10</f>
        <v>1395.3333333333333</v>
      </c>
      <c r="I10" s="10">
        <f t="shared" ref="I10:R10" si="3">$E$10*($G$10+I4)/$F$10</f>
        <v>1502.6666666666667</v>
      </c>
      <c r="J10" s="10">
        <f t="shared" si="3"/>
        <v>1610</v>
      </c>
      <c r="K10" s="10">
        <f t="shared" si="3"/>
        <v>1717.3333333333333</v>
      </c>
      <c r="L10" s="10">
        <f t="shared" si="3"/>
        <v>1824.6666666666667</v>
      </c>
      <c r="M10" s="10">
        <f t="shared" si="3"/>
        <v>1932</v>
      </c>
      <c r="N10" s="10">
        <f t="shared" si="3"/>
        <v>2039.3333333333333</v>
      </c>
      <c r="O10" s="10">
        <f t="shared" si="3"/>
        <v>2146.6666666666665</v>
      </c>
      <c r="P10" s="10">
        <f t="shared" si="3"/>
        <v>2254</v>
      </c>
      <c r="Q10" s="10">
        <f t="shared" si="3"/>
        <v>2361.3333333333335</v>
      </c>
      <c r="R10" s="10">
        <f t="shared" si="3"/>
        <v>2468.6666666666665</v>
      </c>
    </row>
    <row r="11" spans="1:18" x14ac:dyDescent="0.35">
      <c r="A11" s="47" t="s">
        <v>58</v>
      </c>
      <c r="B11" s="47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12</v>
      </c>
      <c r="H11" s="23">
        <f>$E$11*$G$11/$F$11</f>
        <v>384</v>
      </c>
      <c r="I11" s="10">
        <f t="shared" ref="I11:R11" si="4">$E$11*($G$11+I4)/$F$11</f>
        <v>416</v>
      </c>
      <c r="J11" s="10">
        <f t="shared" si="4"/>
        <v>448</v>
      </c>
      <c r="K11" s="10">
        <f t="shared" si="4"/>
        <v>480</v>
      </c>
      <c r="L11" s="10">
        <f t="shared" si="4"/>
        <v>512</v>
      </c>
      <c r="M11" s="10">
        <f t="shared" si="4"/>
        <v>544</v>
      </c>
      <c r="N11" s="10">
        <f t="shared" si="4"/>
        <v>576</v>
      </c>
      <c r="O11" s="10">
        <f t="shared" si="4"/>
        <v>608</v>
      </c>
      <c r="P11" s="10">
        <f t="shared" si="4"/>
        <v>640</v>
      </c>
      <c r="Q11" s="10">
        <f t="shared" si="4"/>
        <v>672</v>
      </c>
      <c r="R11" s="10">
        <f t="shared" si="4"/>
        <v>704</v>
      </c>
    </row>
    <row r="12" spans="1:18" x14ac:dyDescent="0.35">
      <c r="H12" s="23"/>
      <c r="I12" s="10"/>
      <c r="J12" s="10"/>
      <c r="K12" s="10"/>
      <c r="L12" s="10"/>
    </row>
    <row r="13" spans="1:18" x14ac:dyDescent="0.35">
      <c r="A13" s="53" t="s">
        <v>38</v>
      </c>
      <c r="B13" s="53"/>
      <c r="C13" s="53"/>
      <c r="D13" s="53"/>
      <c r="E13" s="53"/>
      <c r="H13" s="23">
        <f t="shared" ref="H13:R13" si="5">SUM(H9:H11)</f>
        <v>3655.5333333333333</v>
      </c>
      <c r="I13" s="10">
        <f t="shared" si="5"/>
        <v>4107.5666666666666</v>
      </c>
      <c r="J13" s="10">
        <f t="shared" si="5"/>
        <v>4559.6000000000004</v>
      </c>
      <c r="K13" s="10">
        <f t="shared" si="5"/>
        <v>5011.6333333333332</v>
      </c>
      <c r="L13" s="10">
        <f t="shared" si="5"/>
        <v>5463.666666666667</v>
      </c>
      <c r="M13" s="10">
        <f t="shared" si="5"/>
        <v>5915.7</v>
      </c>
      <c r="N13" s="10">
        <f t="shared" si="5"/>
        <v>6367.7333333333336</v>
      </c>
      <c r="O13" s="10">
        <f t="shared" si="5"/>
        <v>6819.7666666666664</v>
      </c>
      <c r="P13" s="10">
        <f t="shared" si="5"/>
        <v>7271.8</v>
      </c>
      <c r="Q13" s="10">
        <f t="shared" si="5"/>
        <v>7723.8333333333339</v>
      </c>
      <c r="R13" s="10">
        <f t="shared" si="5"/>
        <v>8175.8666666666668</v>
      </c>
    </row>
    <row r="14" spans="1:18" x14ac:dyDescent="0.35">
      <c r="A14" s="8" t="s">
        <v>70</v>
      </c>
      <c r="B14" s="8"/>
      <c r="C14" s="8"/>
      <c r="D14" s="8"/>
      <c r="E14" s="8"/>
      <c r="H14" s="23">
        <f>H13</f>
        <v>3655.5333333333333</v>
      </c>
      <c r="I14" s="10">
        <f>I13*(1+'Data input'!$D$23/100)^I4</f>
        <v>4148.6423333333332</v>
      </c>
      <c r="J14" s="10">
        <f>J13*(1+'Data input'!$D$23/100)^J4</f>
        <v>4651.2479600000006</v>
      </c>
      <c r="K14" s="10">
        <f>K13*(1+'Data input'!$D$23/100)^K4</f>
        <v>5163.4908349666657</v>
      </c>
      <c r="L14" s="10">
        <f>L13*(1+'Data input'!$D$23/100)^L4</f>
        <v>5685.5134426366667</v>
      </c>
      <c r="M14" s="10">
        <f>M13*(1+'Data input'!$D$23/100)^M4</f>
        <v>6217.460153376569</v>
      </c>
      <c r="N14" s="10">
        <f>N13*(1+'Data input'!$D$23/100)^N4</f>
        <v>6759.4772469870086</v>
      </c>
      <c r="O14" s="10">
        <f>O13*(1+'Data input'!$D$23/100)^O4</f>
        <v>7311.7129364543152</v>
      </c>
      <c r="P14" s="10">
        <f>P13*(1+'Data input'!$D$23/100)^P4</f>
        <v>7874.3173919862738</v>
      </c>
      <c r="Q14" s="10">
        <f>Q13*(1+'Data input'!$D$23/100)^Q4</f>
        <v>8447.442765335225</v>
      </c>
      <c r="R14" s="10">
        <f>R13*(1+'Data input'!$D$23/100)^R4</f>
        <v>9031.2432144119557</v>
      </c>
    </row>
    <row r="15" spans="1:18" x14ac:dyDescent="0.35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5">
      <c r="A16" s="53" t="s">
        <v>103</v>
      </c>
      <c r="B16" s="53"/>
      <c r="C16" s="53"/>
      <c r="D16" s="53"/>
      <c r="E16" s="53"/>
      <c r="H16" s="23">
        <f>'Data input'!D37</f>
        <v>5811</v>
      </c>
      <c r="I16" s="10">
        <f>H16 +$O$23</f>
        <v>5731</v>
      </c>
      <c r="J16" s="10">
        <f>I16 +$O$23</f>
        <v>5651</v>
      </c>
      <c r="K16" s="10">
        <f t="shared" ref="K16:R16" si="6">J16 +$O$23</f>
        <v>5571</v>
      </c>
      <c r="L16" s="10">
        <f t="shared" si="6"/>
        <v>5491</v>
      </c>
      <c r="M16" s="10">
        <f t="shared" si="6"/>
        <v>5411</v>
      </c>
      <c r="N16" s="10">
        <f t="shared" si="6"/>
        <v>5331</v>
      </c>
      <c r="O16" s="10">
        <f t="shared" si="6"/>
        <v>5251</v>
      </c>
      <c r="P16" s="10">
        <f t="shared" si="6"/>
        <v>5171</v>
      </c>
      <c r="Q16" s="10">
        <f t="shared" si="6"/>
        <v>5091</v>
      </c>
      <c r="R16" s="10">
        <f t="shared" si="6"/>
        <v>5011</v>
      </c>
    </row>
    <row r="17" spans="1:18" x14ac:dyDescent="0.35">
      <c r="A17" s="53" t="s">
        <v>40</v>
      </c>
      <c r="B17" s="53"/>
      <c r="C17" s="53"/>
      <c r="D17" s="53"/>
      <c r="E17" s="53"/>
      <c r="H17" s="23">
        <f>H14-H16</f>
        <v>-2155.4666666666667</v>
      </c>
      <c r="I17" s="10">
        <f>I14-I16</f>
        <v>-1582.3576666666668</v>
      </c>
      <c r="J17" s="10">
        <f t="shared" ref="J17:Q17" si="7">J14-J16</f>
        <v>-999.7520399999994</v>
      </c>
      <c r="K17" s="10">
        <f t="shared" si="7"/>
        <v>-407.50916503333428</v>
      </c>
      <c r="L17" s="10">
        <f t="shared" si="7"/>
        <v>194.5134426366667</v>
      </c>
      <c r="M17" s="10">
        <f t="shared" si="7"/>
        <v>806.460153376569</v>
      </c>
      <c r="N17" s="10">
        <f t="shared" si="7"/>
        <v>1428.4772469870086</v>
      </c>
      <c r="O17" s="10">
        <f t="shared" si="7"/>
        <v>2060.7129364543152</v>
      </c>
      <c r="P17" s="10">
        <f t="shared" si="7"/>
        <v>2703.3173919862738</v>
      </c>
      <c r="Q17" s="10">
        <f t="shared" si="7"/>
        <v>3356.442765335225</v>
      </c>
      <c r="R17" s="10">
        <f>R14-R16</f>
        <v>4020.2432144119557</v>
      </c>
    </row>
    <row r="18" spans="1:18" x14ac:dyDescent="0.35">
      <c r="A18" s="53" t="s">
        <v>41</v>
      </c>
      <c r="B18" s="53"/>
      <c r="C18" s="53"/>
      <c r="D18" s="53"/>
      <c r="E18" s="53"/>
      <c r="H18" s="23">
        <f>H17/'Data input'!$L$13</f>
        <v>-359.24444444444447</v>
      </c>
      <c r="I18" s="10">
        <f>I17/'Data input'!$L$13</f>
        <v>-263.7262777777778</v>
      </c>
      <c r="J18" s="10">
        <f>J17/'Data input'!$L$13</f>
        <v>-166.62533999999991</v>
      </c>
      <c r="K18" s="10">
        <f>K17/'Data input'!$L$13</f>
        <v>-67.918194172222385</v>
      </c>
      <c r="L18" s="10">
        <f>L17/'Data input'!$L$13</f>
        <v>32.418907106111114</v>
      </c>
      <c r="M18" s="10">
        <f>M17/'Data input'!$L$13</f>
        <v>134.41002556276149</v>
      </c>
      <c r="N18" s="10">
        <f>N17/'Data input'!$L$13</f>
        <v>238.07954116450142</v>
      </c>
      <c r="O18" s="10">
        <f>O17/'Data input'!$L$13</f>
        <v>343.45215607571919</v>
      </c>
      <c r="P18" s="10">
        <f>P17/'Data input'!$L$13</f>
        <v>450.55289866437897</v>
      </c>
      <c r="Q18" s="10">
        <f>Q17/'Data input'!$L$13</f>
        <v>559.40712755587083</v>
      </c>
      <c r="R18" s="10">
        <f>R17/'Data input'!$L$13</f>
        <v>670.04053573532599</v>
      </c>
    </row>
    <row r="19" spans="1:18" x14ac:dyDescent="0.35">
      <c r="A19" s="8" t="s">
        <v>42</v>
      </c>
      <c r="B19" s="8"/>
      <c r="C19" s="8"/>
      <c r="D19" s="8"/>
      <c r="E19" s="8"/>
      <c r="H19" s="23">
        <f>100*H16/H14</f>
        <v>158.96449218536284</v>
      </c>
      <c r="I19" s="10">
        <f t="shared" ref="I19:Q19" si="8">100*I16/I14</f>
        <v>138.141578365356</v>
      </c>
      <c r="J19" s="10">
        <f t="shared" si="8"/>
        <v>121.49427526972781</v>
      </c>
      <c r="K19" s="10">
        <f t="shared" si="8"/>
        <v>107.89212527063515</v>
      </c>
      <c r="L19" s="10">
        <f t="shared" si="8"/>
        <v>96.578788448938027</v>
      </c>
      <c r="M19" s="10">
        <f t="shared" si="8"/>
        <v>87.029106202818241</v>
      </c>
      <c r="N19" s="10">
        <f t="shared" si="8"/>
        <v>78.867045560013636</v>
      </c>
      <c r="O19" s="10">
        <f t="shared" si="8"/>
        <v>71.816276782692981</v>
      </c>
      <c r="P19" s="10">
        <f t="shared" si="8"/>
        <v>65.669184293517915</v>
      </c>
      <c r="Q19" s="10">
        <f t="shared" si="8"/>
        <v>60.266759319060867</v>
      </c>
      <c r="R19" s="10">
        <f>100*R16/R14</f>
        <v>55.485162795787659</v>
      </c>
    </row>
    <row r="21" spans="1:18" x14ac:dyDescent="0.35">
      <c r="A21" t="s">
        <v>60</v>
      </c>
    </row>
    <row r="22" spans="1:18" ht="15" thickBot="1" x14ac:dyDescent="0.4"/>
    <row r="23" spans="1:18" x14ac:dyDescent="0.35">
      <c r="F23" s="47" t="s">
        <v>71</v>
      </c>
      <c r="G23" s="47"/>
      <c r="H23" s="47"/>
      <c r="I23" s="1">
        <f>4*'Data input'!K13*'Data input'!L13</f>
        <v>120</v>
      </c>
      <c r="K23" s="80" t="s">
        <v>44</v>
      </c>
      <c r="L23" s="81"/>
      <c r="M23" s="81"/>
      <c r="N23" s="81"/>
      <c r="O23" s="78">
        <f>I23-I24</f>
        <v>-80</v>
      </c>
    </row>
    <row r="24" spans="1:18" ht="15" thickBot="1" x14ac:dyDescent="0.4">
      <c r="A24" s="47" t="s">
        <v>61</v>
      </c>
      <c r="B24" s="47"/>
      <c r="C24" s="47"/>
      <c r="D24" s="47"/>
      <c r="E24" s="47"/>
      <c r="F24" s="47"/>
      <c r="G24" s="47"/>
      <c r="H24" s="47"/>
      <c r="I24" s="16">
        <v>200</v>
      </c>
      <c r="J24" s="2"/>
      <c r="K24" s="82"/>
      <c r="L24" s="83"/>
      <c r="M24" s="83"/>
      <c r="N24" s="83"/>
      <c r="O24" s="79"/>
    </row>
    <row r="25" spans="1:18" x14ac:dyDescent="0.35">
      <c r="B25" s="2"/>
      <c r="C25" s="2"/>
    </row>
    <row r="26" spans="1:18" x14ac:dyDescent="0.35">
      <c r="D26" s="13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workbookViewId="0">
      <selection activeCell="F20" sqref="F20"/>
    </sheetView>
  </sheetViews>
  <sheetFormatPr defaultRowHeight="14.5" x14ac:dyDescent="0.35"/>
  <sheetData>
    <row r="1" spans="1:19" ht="15" customHeight="1" x14ac:dyDescent="0.35">
      <c r="F1" s="50" t="s">
        <v>78</v>
      </c>
      <c r="G1" s="50"/>
      <c r="H1" s="50"/>
      <c r="I1" s="50"/>
      <c r="J1" s="57" t="str">
        <f>'Data input'!H4</f>
        <v>February</v>
      </c>
      <c r="K1" s="50"/>
      <c r="L1" s="50">
        <f>'Data input'!D4</f>
        <v>2022</v>
      </c>
    </row>
    <row r="2" spans="1:19" ht="14.4" customHeight="1" x14ac:dyDescent="0.35">
      <c r="F2" s="50"/>
      <c r="G2" s="50"/>
      <c r="H2" s="50"/>
      <c r="I2" s="50"/>
      <c r="J2" s="50"/>
      <c r="K2" s="50"/>
      <c r="L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L1</f>
        <v>2022</v>
      </c>
      <c r="H5" s="54"/>
      <c r="I5" s="1">
        <f>G5+1</f>
        <v>2023</v>
      </c>
      <c r="J5" s="1">
        <f>I5+1</f>
        <v>2024</v>
      </c>
      <c r="K5" s="1">
        <f t="shared" ref="K5:M5" si="1">J5+1</f>
        <v>2025</v>
      </c>
      <c r="L5" s="1">
        <f t="shared" si="1"/>
        <v>2026</v>
      </c>
      <c r="M5" s="1">
        <f t="shared" si="1"/>
        <v>2027</v>
      </c>
      <c r="N5" s="1">
        <f t="shared" si="0"/>
        <v>2028</v>
      </c>
      <c r="O5" s="1">
        <f t="shared" si="0"/>
        <v>2029</v>
      </c>
      <c r="P5" s="1">
        <f t="shared" si="0"/>
        <v>2030</v>
      </c>
      <c r="Q5" s="1">
        <f t="shared" si="0"/>
        <v>2031</v>
      </c>
      <c r="R5" s="1">
        <f t="shared" si="0"/>
        <v>2032</v>
      </c>
      <c r="S5" s="1"/>
    </row>
    <row r="6" spans="1:19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9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46" t="s">
        <v>77</v>
      </c>
      <c r="B9" s="46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5">
      <c r="A10" s="47" t="s">
        <v>34</v>
      </c>
      <c r="B10" s="47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15</v>
      </c>
      <c r="H10" s="23">
        <f>$E$10*$G$10/$F$10</f>
        <v>4275</v>
      </c>
      <c r="I10" s="10">
        <f>$E$10*($G$10+I4)/$F$10</f>
        <v>4560</v>
      </c>
      <c r="J10" s="10">
        <f t="shared" ref="J10:R10" si="2">$E$10*($G$10+J4)/$F$10</f>
        <v>4845</v>
      </c>
      <c r="K10" s="10">
        <f t="shared" si="2"/>
        <v>5130</v>
      </c>
      <c r="L10" s="10">
        <f t="shared" si="2"/>
        <v>5415</v>
      </c>
      <c r="M10" s="10">
        <f t="shared" si="2"/>
        <v>5700</v>
      </c>
      <c r="N10" s="10">
        <f t="shared" si="2"/>
        <v>5985</v>
      </c>
      <c r="O10" s="10">
        <f t="shared" si="2"/>
        <v>6270</v>
      </c>
      <c r="P10" s="10">
        <f t="shared" si="2"/>
        <v>6555</v>
      </c>
      <c r="Q10" s="10">
        <f t="shared" si="2"/>
        <v>6840</v>
      </c>
      <c r="R10" s="10">
        <f t="shared" si="2"/>
        <v>7125</v>
      </c>
    </row>
    <row r="11" spans="1:19" x14ac:dyDescent="0.35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18</v>
      </c>
      <c r="H11" s="23">
        <f>$E$11*$G$11/$F$11</f>
        <v>4492.8</v>
      </c>
      <c r="I11" s="10">
        <f>$E$11*($G$11+I4)/$F$11</f>
        <v>4742.3999999999996</v>
      </c>
      <c r="J11" s="10">
        <f t="shared" ref="J11:R11" si="3">$E$11*($G$11+J4)/$F$11</f>
        <v>4992</v>
      </c>
      <c r="K11" s="10">
        <f t="shared" si="3"/>
        <v>5241.6000000000004</v>
      </c>
      <c r="L11" s="10">
        <f t="shared" si="3"/>
        <v>5491.2</v>
      </c>
      <c r="M11" s="10">
        <f t="shared" si="3"/>
        <v>5740.8</v>
      </c>
      <c r="N11" s="10">
        <f t="shared" si="3"/>
        <v>5990.4</v>
      </c>
      <c r="O11" s="10">
        <f t="shared" si="3"/>
        <v>6240</v>
      </c>
      <c r="P11" s="10">
        <f t="shared" si="3"/>
        <v>6489.6</v>
      </c>
      <c r="Q11" s="10">
        <f t="shared" si="3"/>
        <v>6739.2</v>
      </c>
      <c r="R11" s="10">
        <f t="shared" si="3"/>
        <v>6988.8</v>
      </c>
    </row>
    <row r="12" spans="1:19" x14ac:dyDescent="0.35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6</v>
      </c>
      <c r="H12" s="23">
        <f>$E$12*$G$12/$F$12</f>
        <v>1710</v>
      </c>
      <c r="I12" s="28">
        <f>$E$12*($G$12+I4)/$F$12</f>
        <v>1995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5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23</v>
      </c>
      <c r="H13" s="23">
        <f>$E$13*$G$13/$F$13</f>
        <v>1012</v>
      </c>
      <c r="I13" s="10">
        <f>$E$13*($G$13+I4)/$F$13</f>
        <v>1056</v>
      </c>
      <c r="J13" s="10">
        <f t="shared" ref="J13:R13" si="5">$E$13*($G$13+J4)/$F$13</f>
        <v>1100</v>
      </c>
      <c r="K13" s="10">
        <f t="shared" si="5"/>
        <v>1144</v>
      </c>
      <c r="L13" s="10">
        <f t="shared" si="5"/>
        <v>1188</v>
      </c>
      <c r="M13" s="10">
        <f t="shared" si="5"/>
        <v>1232</v>
      </c>
      <c r="N13" s="10">
        <f t="shared" si="5"/>
        <v>1276</v>
      </c>
      <c r="O13" s="10">
        <f t="shared" si="5"/>
        <v>1320</v>
      </c>
      <c r="P13" s="10">
        <f t="shared" si="5"/>
        <v>1364</v>
      </c>
      <c r="Q13" s="10">
        <f t="shared" si="5"/>
        <v>1408</v>
      </c>
      <c r="R13" s="10">
        <f t="shared" si="5"/>
        <v>1452</v>
      </c>
    </row>
    <row r="14" spans="1:19" x14ac:dyDescent="0.35">
      <c r="B14" s="2" t="s">
        <v>32</v>
      </c>
      <c r="E14" s="11">
        <v>1000</v>
      </c>
      <c r="F14" s="11">
        <v>40</v>
      </c>
      <c r="G14" s="9">
        <f>4+$G$5-2019</f>
        <v>7</v>
      </c>
      <c r="H14" s="23">
        <f>$E$14*$G$14/$F$14</f>
        <v>175</v>
      </c>
      <c r="I14" s="10">
        <f>$E$14*($G$14+I4)/$F$14</f>
        <v>200</v>
      </c>
      <c r="J14" s="10">
        <f t="shared" ref="J14:R14" si="6">$E$14*($G$14+J4)/$F$14</f>
        <v>225</v>
      </c>
      <c r="K14" s="10">
        <f t="shared" si="6"/>
        <v>250</v>
      </c>
      <c r="L14" s="10">
        <f t="shared" si="6"/>
        <v>275</v>
      </c>
      <c r="M14" s="10">
        <f t="shared" si="6"/>
        <v>300</v>
      </c>
      <c r="N14" s="10">
        <f t="shared" si="6"/>
        <v>325</v>
      </c>
      <c r="O14" s="10">
        <f t="shared" si="6"/>
        <v>350</v>
      </c>
      <c r="P14" s="10">
        <f t="shared" si="6"/>
        <v>375</v>
      </c>
      <c r="Q14" s="10">
        <f t="shared" si="6"/>
        <v>400</v>
      </c>
      <c r="R14" s="10">
        <f t="shared" si="6"/>
        <v>425</v>
      </c>
    </row>
    <row r="15" spans="1:19" x14ac:dyDescent="0.35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5">
      <c r="A16" s="47" t="s">
        <v>69</v>
      </c>
      <c r="B16" s="47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10</v>
      </c>
      <c r="H16" s="23">
        <f>$E$16*$G$16/$F$16</f>
        <v>3034.125</v>
      </c>
      <c r="I16" s="10">
        <f t="shared" ref="I16:R16" si="7">$E$16*($G$16+I4)/$F$16</f>
        <v>3337.5374999999999</v>
      </c>
      <c r="J16" s="10">
        <f t="shared" si="7"/>
        <v>3640.95</v>
      </c>
      <c r="K16" s="10">
        <f t="shared" si="7"/>
        <v>3944.3625000000002</v>
      </c>
      <c r="L16" s="10">
        <f t="shared" si="7"/>
        <v>4247.7749999999996</v>
      </c>
      <c r="M16" s="10">
        <f t="shared" si="7"/>
        <v>4551.1875</v>
      </c>
      <c r="N16" s="10">
        <f t="shared" si="7"/>
        <v>4854.6000000000004</v>
      </c>
      <c r="O16" s="10">
        <f t="shared" si="7"/>
        <v>5158.0124999999998</v>
      </c>
      <c r="P16" s="10">
        <f t="shared" si="7"/>
        <v>5461.4250000000002</v>
      </c>
      <c r="Q16" s="10">
        <f t="shared" si="7"/>
        <v>5764.8374999999996</v>
      </c>
      <c r="R16" s="10">
        <f t="shared" si="7"/>
        <v>6068.25</v>
      </c>
      <c r="S16" s="10"/>
    </row>
    <row r="17" spans="1:19" x14ac:dyDescent="0.35">
      <c r="A17" s="47" t="s">
        <v>57</v>
      </c>
      <c r="B17" s="47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6</v>
      </c>
      <c r="H17" s="23">
        <f>$E$17*$G$17/$F$17</f>
        <v>210</v>
      </c>
      <c r="I17" s="10">
        <f t="shared" ref="I17:R17" si="8">$E$17*($G$17+I4)/$F$17</f>
        <v>245</v>
      </c>
      <c r="J17" s="10">
        <f t="shared" si="8"/>
        <v>280</v>
      </c>
      <c r="K17" s="10">
        <f t="shared" si="8"/>
        <v>315</v>
      </c>
      <c r="L17" s="10">
        <f t="shared" si="8"/>
        <v>350</v>
      </c>
      <c r="M17" s="10">
        <f t="shared" si="8"/>
        <v>385</v>
      </c>
      <c r="N17" s="10">
        <f t="shared" si="8"/>
        <v>420</v>
      </c>
      <c r="O17" s="10">
        <f t="shared" si="8"/>
        <v>455</v>
      </c>
      <c r="P17" s="10">
        <f t="shared" si="8"/>
        <v>490</v>
      </c>
      <c r="Q17" s="10">
        <f t="shared" si="8"/>
        <v>525</v>
      </c>
      <c r="R17" s="10">
        <f t="shared" si="8"/>
        <v>560</v>
      </c>
      <c r="S17" s="10"/>
    </row>
    <row r="18" spans="1:19" x14ac:dyDescent="0.35">
      <c r="A18" s="47" t="s">
        <v>58</v>
      </c>
      <c r="B18" s="47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6</v>
      </c>
      <c r="H18" s="23">
        <f>$E18*$G$18/$F$18</f>
        <v>144</v>
      </c>
      <c r="I18" s="10">
        <f t="shared" ref="I18:R18" si="9">$E18*($G$18+I4)/$F$18</f>
        <v>168</v>
      </c>
      <c r="J18" s="10">
        <f t="shared" si="9"/>
        <v>192</v>
      </c>
      <c r="K18" s="10">
        <f t="shared" si="9"/>
        <v>216</v>
      </c>
      <c r="L18" s="10">
        <f t="shared" si="9"/>
        <v>240</v>
      </c>
      <c r="M18" s="10">
        <f t="shared" si="9"/>
        <v>264</v>
      </c>
      <c r="N18" s="10">
        <f t="shared" si="9"/>
        <v>288</v>
      </c>
      <c r="O18" s="10">
        <f t="shared" si="9"/>
        <v>312</v>
      </c>
      <c r="P18" s="10">
        <f t="shared" si="9"/>
        <v>336</v>
      </c>
      <c r="Q18" s="10">
        <f t="shared" si="9"/>
        <v>360</v>
      </c>
      <c r="R18" s="10">
        <f t="shared" si="9"/>
        <v>384</v>
      </c>
      <c r="S18" s="10"/>
    </row>
    <row r="19" spans="1:19" x14ac:dyDescent="0.35">
      <c r="H19" s="23"/>
      <c r="I19" s="10"/>
      <c r="J19" s="10"/>
      <c r="K19" s="10"/>
      <c r="L19" s="10"/>
    </row>
    <row r="20" spans="1:19" x14ac:dyDescent="0.35">
      <c r="A20" s="53" t="s">
        <v>38</v>
      </c>
      <c r="B20" s="53"/>
      <c r="C20" s="53"/>
      <c r="D20" s="53"/>
      <c r="E20" s="53"/>
      <c r="H20" s="23">
        <f>SUM(H9:H17)</f>
        <v>14908.924999999999</v>
      </c>
      <c r="I20" s="10">
        <f t="shared" ref="I20:R20" si="10">SUM(I9:I17)</f>
        <v>16135.9375</v>
      </c>
      <c r="J20" s="10">
        <f t="shared" si="10"/>
        <v>16222.95</v>
      </c>
      <c r="K20" s="10">
        <f t="shared" si="10"/>
        <v>17449.962500000001</v>
      </c>
      <c r="L20" s="10">
        <f t="shared" si="10"/>
        <v>18676.974999999999</v>
      </c>
      <c r="M20" s="10">
        <f t="shared" si="10"/>
        <v>19903.987499999999</v>
      </c>
      <c r="N20" s="10">
        <f t="shared" si="10"/>
        <v>21131</v>
      </c>
      <c r="O20" s="10">
        <f t="shared" si="10"/>
        <v>22358.012500000001</v>
      </c>
      <c r="P20" s="10">
        <f t="shared" si="10"/>
        <v>23585.024999999998</v>
      </c>
      <c r="Q20" s="10">
        <f t="shared" si="10"/>
        <v>24812.037499999999</v>
      </c>
      <c r="R20" s="10">
        <f t="shared" si="10"/>
        <v>26039.05</v>
      </c>
      <c r="S20" s="10"/>
    </row>
    <row r="21" spans="1:19" x14ac:dyDescent="0.35">
      <c r="A21" t="s">
        <v>59</v>
      </c>
      <c r="H21" s="23">
        <f>SUM(H9:H18)</f>
        <v>15052.924999999999</v>
      </c>
      <c r="I21" s="10">
        <f>I20*(1+'Data input'!$D$23/100)^I4</f>
        <v>16297.296875</v>
      </c>
      <c r="J21" s="10">
        <f>J20*(1+'Data input'!$D$23/100)^J4</f>
        <v>16549.031295000001</v>
      </c>
      <c r="K21" s="10">
        <f>K20*(1+'Data input'!$D$23/100)^K4</f>
        <v>17978.7138137125</v>
      </c>
      <c r="L21" s="10">
        <f>L20*(1+'Data input'!$D$23/100)^L4</f>
        <v>19435.335079669749</v>
      </c>
      <c r="M21" s="10">
        <f>M20*(1+'Data input'!$D$23/100)^M4</f>
        <v>20919.29089956477</v>
      </c>
      <c r="N21" s="10">
        <f>N20*(1+'Data input'!$D$23/100)^N4</f>
        <v>22430.982302349734</v>
      </c>
      <c r="O21" s="10">
        <f>O20*(1+'Data input'!$D$23/100)^O4</f>
        <v>23970.815604100429</v>
      </c>
      <c r="P21" s="10">
        <f>P20*(1+'Data input'!$D$23/100)^P4</f>
        <v>25539.202473655911</v>
      </c>
      <c r="Q21" s="10">
        <f>Q20*(1+'Data input'!$D$23/100)^Q4</f>
        <v>27136.559999042092</v>
      </c>
      <c r="R21" s="10">
        <f>R20*(1+'Data input'!$D$23/100)^R4</f>
        <v>28763.310754688631</v>
      </c>
    </row>
    <row r="22" spans="1:19" x14ac:dyDescent="0.35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5">
      <c r="A23" s="53" t="s">
        <v>103</v>
      </c>
      <c r="B23" s="53"/>
      <c r="C23" s="53"/>
      <c r="D23" s="53"/>
      <c r="E23" s="53"/>
      <c r="G23" s="10"/>
      <c r="H23" s="23">
        <f>'Data input'!D38</f>
        <v>6020</v>
      </c>
      <c r="I23" s="10">
        <f>H23+$P$28</f>
        <v>7641</v>
      </c>
      <c r="J23" s="10">
        <f>I23+$P$28</f>
        <v>9262</v>
      </c>
      <c r="K23" s="10">
        <f t="shared" ref="K23:R23" si="11">J23+$P$28</f>
        <v>10883</v>
      </c>
      <c r="L23" s="10">
        <f t="shared" si="11"/>
        <v>12504</v>
      </c>
      <c r="M23" s="10">
        <f t="shared" si="11"/>
        <v>14125</v>
      </c>
      <c r="N23" s="10">
        <f t="shared" si="11"/>
        <v>15746</v>
      </c>
      <c r="O23" s="10">
        <f t="shared" si="11"/>
        <v>17367</v>
      </c>
      <c r="P23" s="10">
        <f t="shared" si="11"/>
        <v>18988</v>
      </c>
      <c r="Q23" s="10">
        <f t="shared" si="11"/>
        <v>20609</v>
      </c>
      <c r="R23" s="10">
        <f t="shared" si="11"/>
        <v>22230</v>
      </c>
      <c r="S23" s="10"/>
    </row>
    <row r="24" spans="1:19" x14ac:dyDescent="0.35">
      <c r="A24" s="53" t="s">
        <v>40</v>
      </c>
      <c r="B24" s="53"/>
      <c r="C24" s="53"/>
      <c r="D24" s="53"/>
      <c r="E24" s="53"/>
      <c r="H24" s="23">
        <f>H21-H23</f>
        <v>9032.9249999999993</v>
      </c>
      <c r="I24" s="10">
        <f>I21-I23</f>
        <v>8656.296875</v>
      </c>
      <c r="J24" s="10">
        <f t="shared" ref="J24:Q24" si="12">J21-J23</f>
        <v>7287.0312950000007</v>
      </c>
      <c r="K24" s="10">
        <f t="shared" si="12"/>
        <v>7095.7138137125003</v>
      </c>
      <c r="L24" s="10">
        <f t="shared" si="12"/>
        <v>6931.3350796697487</v>
      </c>
      <c r="M24" s="10">
        <f t="shared" si="12"/>
        <v>6794.2908995647704</v>
      </c>
      <c r="N24" s="10">
        <f t="shared" si="12"/>
        <v>6684.9823023497338</v>
      </c>
      <c r="O24" s="10">
        <f t="shared" si="12"/>
        <v>6603.8156041004295</v>
      </c>
      <c r="P24" s="10">
        <f t="shared" si="12"/>
        <v>6551.2024736559106</v>
      </c>
      <c r="Q24" s="10">
        <f t="shared" si="12"/>
        <v>6527.5599990420924</v>
      </c>
      <c r="R24" s="10">
        <f>R21-R23</f>
        <v>6533.3107546886313</v>
      </c>
      <c r="S24" s="10"/>
    </row>
    <row r="25" spans="1:19" x14ac:dyDescent="0.35">
      <c r="A25" s="53" t="s">
        <v>41</v>
      </c>
      <c r="B25" s="53"/>
      <c r="C25" s="53"/>
      <c r="D25" s="53"/>
      <c r="E25" s="53"/>
      <c r="H25" s="23">
        <f>H24/'Data input'!$L$14</f>
        <v>3010.9749999999999</v>
      </c>
      <c r="I25" s="10">
        <f>I24/'Data input'!$L$14</f>
        <v>2885.4322916666665</v>
      </c>
      <c r="J25" s="10">
        <f>J24/'Data input'!$L$14</f>
        <v>2429.010431666667</v>
      </c>
      <c r="K25" s="10">
        <f>K24/'Data input'!$L$14</f>
        <v>2365.2379379041668</v>
      </c>
      <c r="L25" s="10">
        <f>L24/'Data input'!$L$14</f>
        <v>2310.4450265565829</v>
      </c>
      <c r="M25" s="10">
        <f>M24/'Data input'!$L$14</f>
        <v>2264.7636331882568</v>
      </c>
      <c r="N25" s="10">
        <f>N24/'Data input'!$L$14</f>
        <v>2228.3274341165779</v>
      </c>
      <c r="O25" s="10">
        <f>O24/'Data input'!$L$14</f>
        <v>2201.2718680334765</v>
      </c>
      <c r="P25" s="10">
        <f>P24/'Data input'!$L$14</f>
        <v>2183.7341578853034</v>
      </c>
      <c r="Q25" s="10">
        <f>Q24/'Data input'!$L$14</f>
        <v>2175.8533330140308</v>
      </c>
      <c r="R25" s="10">
        <f>R24/'Data input'!$L$14</f>
        <v>2177.7702515628771</v>
      </c>
      <c r="S25" s="10"/>
    </row>
    <row r="26" spans="1:19" x14ac:dyDescent="0.35">
      <c r="A26" s="8" t="s">
        <v>42</v>
      </c>
      <c r="B26" s="8"/>
      <c r="C26" s="8"/>
      <c r="D26" s="8"/>
      <c r="E26" s="8"/>
      <c r="H26" s="23">
        <f>100*H23/H21</f>
        <v>39.992227424238145</v>
      </c>
      <c r="I26" s="10">
        <f t="shared" ref="I26:Q26" si="13">100*I23/I21</f>
        <v>46.885075841756731</v>
      </c>
      <c r="J26" s="10">
        <f t="shared" si="13"/>
        <v>55.967022086654403</v>
      </c>
      <c r="K26" s="10">
        <f t="shared" si="13"/>
        <v>60.532695012362083</v>
      </c>
      <c r="L26" s="10">
        <f t="shared" si="13"/>
        <v>64.336426147238171</v>
      </c>
      <c r="M26" s="10">
        <f t="shared" si="13"/>
        <v>67.521409152037137</v>
      </c>
      <c r="N26" s="10">
        <f t="shared" si="13"/>
        <v>70.197549923395655</v>
      </c>
      <c r="O26" s="10">
        <f t="shared" si="13"/>
        <v>72.450601126101077</v>
      </c>
      <c r="P26" s="10">
        <f t="shared" si="13"/>
        <v>74.348445373681585</v>
      </c>
      <c r="Q26" s="10">
        <f t="shared" si="13"/>
        <v>75.94551409879324</v>
      </c>
      <c r="R26" s="10">
        <f>100*R23/R21</f>
        <v>77.285957063813825</v>
      </c>
      <c r="S26" s="10"/>
    </row>
    <row r="27" spans="1:19" ht="15" thickBot="1" x14ac:dyDescent="0.4"/>
    <row r="28" spans="1:19" x14ac:dyDescent="0.35">
      <c r="E28" s="47" t="s">
        <v>79</v>
      </c>
      <c r="F28" s="47"/>
      <c r="G28" s="47"/>
      <c r="H28" s="1">
        <f>4*('Data input'!K14*'Data input'!L14+'Data input'!K15)</f>
        <v>1776</v>
      </c>
      <c r="L28" s="74" t="s">
        <v>80</v>
      </c>
      <c r="M28" s="75"/>
      <c r="N28" s="75"/>
      <c r="O28" s="75"/>
      <c r="P28" s="78">
        <f>H28-H29-H30</f>
        <v>1621</v>
      </c>
    </row>
    <row r="29" spans="1:19" ht="15" thickBot="1" x14ac:dyDescent="0.4">
      <c r="B29" s="47" t="s">
        <v>126</v>
      </c>
      <c r="C29" s="47"/>
      <c r="D29" s="47"/>
      <c r="E29" s="47"/>
      <c r="F29" s="47"/>
      <c r="G29" s="47"/>
      <c r="H29" s="16">
        <f>4*'Data input'!K16</f>
        <v>80</v>
      </c>
      <c r="L29" s="76"/>
      <c r="M29" s="77"/>
      <c r="N29" s="77"/>
      <c r="O29" s="77"/>
      <c r="P29" s="79"/>
    </row>
    <row r="30" spans="1:19" x14ac:dyDescent="0.35">
      <c r="B30" s="47" t="s">
        <v>75</v>
      </c>
      <c r="C30" s="47"/>
      <c r="D30" s="47"/>
      <c r="E30" s="47"/>
      <c r="F30" s="47"/>
      <c r="G30" s="47"/>
      <c r="H30" s="16">
        <v>75</v>
      </c>
      <c r="K30" s="11"/>
      <c r="P30" s="9"/>
    </row>
    <row r="31" spans="1:19" x14ac:dyDescent="0.35">
      <c r="H31" s="1"/>
      <c r="K31" s="9"/>
      <c r="P31" s="9"/>
    </row>
    <row r="32" spans="1:19" x14ac:dyDescent="0.35">
      <c r="B32" s="2"/>
      <c r="C32" s="2"/>
      <c r="D32" s="2"/>
      <c r="E32" s="2"/>
      <c r="F32" s="47"/>
      <c r="G32" s="47"/>
      <c r="H32" s="1"/>
      <c r="I32" s="2"/>
      <c r="J32" s="2"/>
      <c r="K32" s="9"/>
    </row>
    <row r="33" spans="2:5" x14ac:dyDescent="0.35">
      <c r="B33" s="13"/>
      <c r="C33" s="13"/>
      <c r="D33" s="13"/>
    </row>
    <row r="38" spans="2:5" x14ac:dyDescent="0.35">
      <c r="E38" s="2"/>
    </row>
    <row r="39" spans="2:5" x14ac:dyDescent="0.35">
      <c r="E39" s="9"/>
    </row>
    <row r="40" spans="2:5" x14ac:dyDescent="0.35">
      <c r="E40" s="9"/>
    </row>
  </sheetData>
  <mergeCells count="22"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  <mergeCell ref="A24:E24"/>
    <mergeCell ref="C6:D6"/>
    <mergeCell ref="A10:B10"/>
    <mergeCell ref="A16:B16"/>
    <mergeCell ref="A17:B17"/>
    <mergeCell ref="A18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Walter Orchard</cp:lastModifiedBy>
  <cp:lastPrinted>2019-07-15T20:51:17Z</cp:lastPrinted>
  <dcterms:created xsi:type="dcterms:W3CDTF">2015-06-27T04:48:11Z</dcterms:created>
  <dcterms:modified xsi:type="dcterms:W3CDTF">2022-02-06T21:53:35Z</dcterms:modified>
</cp:coreProperties>
</file>