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80" windowHeight="14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<sst xmlns="http://schemas.openxmlformats.org/spreadsheetml/2006/main" count="118" uniqueCount="102">
  <si>
    <t>Asset Description</t>
  </si>
  <si>
    <t>Cost</t>
  </si>
  <si>
    <t>Years</t>
  </si>
  <si>
    <t>Remaining</t>
  </si>
  <si>
    <t>Reserve</t>
  </si>
  <si>
    <t>Balance</t>
  </si>
  <si>
    <t>Transfer</t>
  </si>
  <si>
    <t>Playground</t>
  </si>
  <si>
    <t>Small Bridge</t>
  </si>
  <si>
    <t>Main Equipment Shed</t>
  </si>
  <si>
    <t>Limited Commons 2 - lights</t>
  </si>
  <si>
    <t>Limited Commons 1 - lights</t>
  </si>
  <si>
    <t>Limited Commons 3 - lights</t>
  </si>
  <si>
    <t xml:space="preserve">  Total Limited Common 1</t>
  </si>
  <si>
    <t xml:space="preserve">  Total Limited Common 3</t>
  </si>
  <si>
    <t xml:space="preserve">  Total Limited Common 2</t>
  </si>
  <si>
    <t xml:space="preserve">  Total Limited Common 4</t>
  </si>
  <si>
    <t>Repl.</t>
  </si>
  <si>
    <t>Amt.</t>
  </si>
  <si>
    <t>Tennis Court / Basketball</t>
  </si>
  <si>
    <t xml:space="preserve"> </t>
  </si>
  <si>
    <t>sub-totals</t>
  </si>
  <si>
    <t>Total Fixed Assets</t>
  </si>
  <si>
    <t>Spa</t>
  </si>
  <si>
    <t>Pool</t>
  </si>
  <si>
    <t>Pool Structure &amp; Restrooms</t>
  </si>
  <si>
    <t xml:space="preserve">  General Fund Total</t>
  </si>
  <si>
    <t>Min. Annual</t>
  </si>
  <si>
    <t>Increase</t>
  </si>
  <si>
    <t>LCA 1</t>
  </si>
  <si>
    <t>LCA 2</t>
  </si>
  <si>
    <t>LCA 3</t>
  </si>
  <si>
    <t>LCA 4</t>
  </si>
  <si>
    <t>Amount</t>
  </si>
  <si>
    <t>General</t>
  </si>
  <si>
    <t>Limited Commons 1 - structure (10)</t>
  </si>
  <si>
    <t>Limited Commons 2 - structure (7)</t>
  </si>
  <si>
    <t>Limited Commons 3 - structure (2)</t>
  </si>
  <si>
    <t>Limited Commons 4 - structure (3)</t>
  </si>
  <si>
    <t>Replacement cost per parking space</t>
  </si>
  <si>
    <t># of parking spaces per LCA</t>
  </si>
  <si>
    <t>Budget</t>
  </si>
  <si>
    <t># Units</t>
  </si>
  <si>
    <t>Average cost for:</t>
  </si>
  <si>
    <t>Structures</t>
  </si>
  <si>
    <t>Lighting</t>
  </si>
  <si>
    <t>Equipment</t>
  </si>
  <si>
    <t>Limited Commons 1 - parking paving</t>
  </si>
  <si>
    <t>Limited Commons 1 - path paving</t>
  </si>
  <si>
    <t>Limited Commons 2 - path paving</t>
  </si>
  <si>
    <t>Limited Commons 3 - path paving</t>
  </si>
  <si>
    <t>Limited Commons 2 - parking paving</t>
  </si>
  <si>
    <t>Limited Commons 3 - parking paving</t>
  </si>
  <si>
    <t>Quiet Water Fixed Asset Worksheet - 2011-12</t>
  </si>
  <si>
    <t>11-12</t>
  </si>
  <si>
    <t>FY 11-12</t>
  </si>
  <si>
    <t>Parking Paving</t>
  </si>
  <si>
    <t>Path Paving</t>
  </si>
  <si>
    <t>Limited Commons 4 - parking paving</t>
  </si>
  <si>
    <t>Limited Commons 4 - path paving</t>
  </si>
  <si>
    <t>Original</t>
  </si>
  <si>
    <t>Unit cost per Quarter</t>
  </si>
  <si>
    <t>Unit cost w/o structure</t>
  </si>
  <si>
    <t>Reserve Fund Balances</t>
  </si>
  <si>
    <t>Enter Ending Fund Balance Amounts Below</t>
  </si>
  <si>
    <t>Target</t>
  </si>
  <si>
    <t>Change</t>
  </si>
  <si>
    <t xml:space="preserve">Net </t>
  </si>
  <si>
    <t>Paving</t>
  </si>
  <si>
    <t>Area</t>
  </si>
  <si>
    <t>Asphalt cost per sq. ft.</t>
  </si>
  <si>
    <t>Current quarterly rates</t>
  </si>
  <si>
    <t>General Fund suggested unit quarterly contribution</t>
  </si>
  <si>
    <t>No. of houses</t>
  </si>
  <si>
    <t>No of lots</t>
  </si>
  <si>
    <t>FY10-11</t>
  </si>
  <si>
    <t>Actual</t>
  </si>
  <si>
    <t>Ending Bal</t>
  </si>
  <si>
    <t>LCA 1 Operating Expenses</t>
  </si>
  <si>
    <t>LCA 2 Operating Expenses</t>
  </si>
  <si>
    <t>LCA 3 Operating Expenses</t>
  </si>
  <si>
    <t>LCA 4 Operating Expenses</t>
  </si>
  <si>
    <t>11-12 LCA</t>
  </si>
  <si>
    <t>Operations</t>
  </si>
  <si>
    <t>Include current maint. Exp in rates:</t>
  </si>
  <si>
    <t>In cell C69, a 1 includes maintenance exp in the rate calculation.</t>
  </si>
  <si>
    <t>General Reserve Distribution</t>
  </si>
  <si>
    <t>Estimated reserve transfer at year end</t>
  </si>
  <si>
    <t>not included in any rate calculation.</t>
  </si>
  <si>
    <t>The General reserve distribution analysis is for information only and is</t>
  </si>
  <si>
    <t>Total Area</t>
  </si>
  <si>
    <t>Changes made:</t>
  </si>
  <si>
    <t>1.  Updated fund balances as of Jan 2012</t>
  </si>
  <si>
    <t>2.  Updated paving cost estimates for each LCA</t>
  </si>
  <si>
    <t>3.  Revised remaining life to reflect seal coat life</t>
  </si>
  <si>
    <t xml:space="preserve">Note:  estimates reflect current oil prices which are expected to rise </t>
  </si>
  <si>
    <t>this summer.</t>
  </si>
  <si>
    <t>4.  Updated remaining life for path lights</t>
  </si>
  <si>
    <t>As of 3-31-2012</t>
  </si>
  <si>
    <t xml:space="preserve"> Mar 2012</t>
  </si>
  <si>
    <t>Projected Change</t>
  </si>
  <si>
    <t>Board Proposed Assessments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</si>
</sst>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5" xfId="0" applyBorder="1" applyAlignment="1">
      <alignment/>
    </xf>
    <xf numFmtId="164" fontId="0" fillId="0" borderId="0" xfId="0" applyNumberFormat="1" applyFill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 applyBorder="1" applyAlignment="1">
      <alignment horizontal="center"/>
    </xf>
    <xf numFmtId="164" fontId="0" fillId="16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0" fillId="33" borderId="23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6" xfId="0" applyNumberForma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right"/>
    </xf>
    <xf numFmtId="0" fontId="4" fillId="0" borderId="13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0" fillId="0" borderId="18" xfId="0" applyNumberFormat="1" applyFont="1" applyBorder="1" applyAlignment="1" quotePrefix="1">
      <alignment horizontal="center"/>
    </xf>
    <xf numFmtId="164" fontId="0" fillId="16" borderId="0" xfId="0" applyNumberFormat="1" applyFill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16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16" borderId="18" xfId="0" applyNumberFormat="1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164" fontId="0" fillId="34" borderId="0" xfId="0" applyNumberFormat="1" applyFill="1" applyAlignment="1">
      <alignment horizontal="center"/>
    </xf>
    <xf numFmtId="0" fontId="0" fillId="35" borderId="25" xfId="0" applyFill="1" applyBorder="1" applyAlignment="1">
      <alignment horizontal="left"/>
    </xf>
    <xf numFmtId="0" fontId="0" fillId="35" borderId="26" xfId="0" applyFill="1" applyBorder="1" applyAlignment="1">
      <alignment horizontal="center"/>
    </xf>
    <xf numFmtId="164" fontId="0" fillId="35" borderId="26" xfId="0" applyNumberFormat="1" applyFill="1" applyBorder="1" applyAlignment="1">
      <alignment horizontal="center"/>
    </xf>
    <xf numFmtId="164" fontId="0" fillId="35" borderId="27" xfId="0" applyNumberForma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35" borderId="2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Layout" workbookViewId="0" topLeftCell="A1">
      <pane ySplit="1800" topLeftCell="A4" activePane="bottomLeft" state="split"/>
      <selection pane="topLeft" activeCell="A3" sqref="A3"/>
      <selection pane="bottomLeft" activeCell="H13" sqref="H13"/>
    </sheetView>
  </sheetViews>
  <sheetFormatPr defaultColWidth="9.140625" defaultRowHeight="12.75"/>
  <cols>
    <col min="1" max="1" width="29.8515625" style="0" customWidth="1"/>
    <col min="2" max="2" width="10.140625" style="1" customWidth="1"/>
    <col min="3" max="3" width="9.00390625" style="1" customWidth="1"/>
    <col min="4" max="4" width="11.00390625" style="1" customWidth="1"/>
    <col min="5" max="5" width="9.57421875" style="1" customWidth="1"/>
    <col min="6" max="6" width="9.7109375" style="1" customWidth="1"/>
    <col min="7" max="7" width="12.140625" style="1" customWidth="1"/>
    <col min="8" max="8" width="8.57421875" style="1" customWidth="1"/>
    <col min="9" max="9" width="5.7109375" style="1" customWidth="1"/>
    <col min="10" max="10" width="9.7109375" style="0" customWidth="1"/>
  </cols>
  <sheetData>
    <row r="1" spans="1:10" ht="12.75">
      <c r="A1" s="9" t="s">
        <v>53</v>
      </c>
      <c r="D1" s="1" t="s">
        <v>98</v>
      </c>
      <c r="J1" s="6">
        <f ca="1">TODAY()</f>
        <v>41006</v>
      </c>
    </row>
    <row r="2" spans="1:11" ht="12.75">
      <c r="A2" s="9"/>
      <c r="B2" s="15"/>
      <c r="C2" s="15"/>
      <c r="D2" s="15"/>
      <c r="E2" s="15"/>
      <c r="F2" s="15"/>
      <c r="G2" s="15" t="s">
        <v>27</v>
      </c>
      <c r="H2" s="15"/>
      <c r="K2" s="33" t="s">
        <v>54</v>
      </c>
    </row>
    <row r="3" spans="1:11" ht="12.75">
      <c r="A3" s="9"/>
      <c r="B3" s="15" t="s">
        <v>2</v>
      </c>
      <c r="C3" s="15" t="s">
        <v>60</v>
      </c>
      <c r="D3" s="15" t="s">
        <v>17</v>
      </c>
      <c r="E3" s="15" t="s">
        <v>4</v>
      </c>
      <c r="F3" s="15" t="s">
        <v>4</v>
      </c>
      <c r="G3" s="15" t="s">
        <v>4</v>
      </c>
      <c r="H3" s="15" t="s">
        <v>4</v>
      </c>
      <c r="J3" s="15" t="s">
        <v>65</v>
      </c>
      <c r="K3" s="15" t="s">
        <v>41</v>
      </c>
    </row>
    <row r="4" spans="1:11" ht="12.75">
      <c r="A4" s="29" t="s">
        <v>0</v>
      </c>
      <c r="B4" s="28" t="s">
        <v>3</v>
      </c>
      <c r="C4" s="28" t="s">
        <v>1</v>
      </c>
      <c r="D4" s="28" t="s">
        <v>18</v>
      </c>
      <c r="E4" s="28" t="s">
        <v>5</v>
      </c>
      <c r="F4" s="28" t="s">
        <v>21</v>
      </c>
      <c r="G4" s="28" t="s">
        <v>6</v>
      </c>
      <c r="H4" s="28" t="s">
        <v>28</v>
      </c>
      <c r="J4" s="45" t="s">
        <v>5</v>
      </c>
      <c r="K4" s="15" t="s">
        <v>33</v>
      </c>
    </row>
    <row r="5" spans="1:11" ht="12.75">
      <c r="A5" s="7"/>
      <c r="B5" s="8"/>
      <c r="C5" s="8"/>
      <c r="D5" s="8"/>
      <c r="E5" s="8"/>
      <c r="F5" s="8"/>
      <c r="G5" s="8"/>
      <c r="H5" s="12"/>
      <c r="J5" s="47"/>
      <c r="K5" s="16"/>
    </row>
    <row r="6" spans="1:11" ht="12.75">
      <c r="A6" t="s">
        <v>7</v>
      </c>
      <c r="B6" s="34">
        <v>7</v>
      </c>
      <c r="C6" s="2">
        <v>8333</v>
      </c>
      <c r="D6" s="36">
        <v>8000</v>
      </c>
      <c r="E6" s="2">
        <f>ROUND((D6/$D$14)*$F$14,0)</f>
        <v>2909</v>
      </c>
      <c r="G6" s="2">
        <f aca="true" t="shared" si="0" ref="G6:G11">(D6-E6)/B6</f>
        <v>727.2857142857143</v>
      </c>
      <c r="H6" s="13"/>
      <c r="J6" s="48"/>
      <c r="K6" s="48"/>
    </row>
    <row r="7" spans="1:11" ht="12.75">
      <c r="A7" t="s">
        <v>24</v>
      </c>
      <c r="B7" s="34">
        <v>13</v>
      </c>
      <c r="C7" s="2">
        <v>102634</v>
      </c>
      <c r="D7" s="36">
        <v>25000</v>
      </c>
      <c r="E7" s="2">
        <f aca="true" t="shared" si="1" ref="E7:E13">ROUND((D7/$D$14)*$F$14,0)</f>
        <v>9089</v>
      </c>
      <c r="G7" s="2">
        <f>(D7-E7)/B7</f>
        <v>1223.923076923077</v>
      </c>
      <c r="H7" s="13"/>
      <c r="J7" s="14"/>
      <c r="K7" s="48"/>
    </row>
    <row r="8" spans="1:11" ht="12.75">
      <c r="A8" t="s">
        <v>23</v>
      </c>
      <c r="B8" s="34">
        <v>8</v>
      </c>
      <c r="C8" s="2"/>
      <c r="D8" s="36">
        <v>15000</v>
      </c>
      <c r="E8" s="2">
        <f t="shared" si="1"/>
        <v>5454</v>
      </c>
      <c r="G8" s="2">
        <f t="shared" si="0"/>
        <v>1193.25</v>
      </c>
      <c r="H8" s="13"/>
      <c r="J8" s="14"/>
      <c r="K8" s="17"/>
    </row>
    <row r="9" spans="1:11" ht="12.75">
      <c r="A9" t="s">
        <v>25</v>
      </c>
      <c r="B9" s="34">
        <v>18</v>
      </c>
      <c r="C9" s="2"/>
      <c r="D9" s="36">
        <v>50000</v>
      </c>
      <c r="E9" s="2">
        <f t="shared" si="1"/>
        <v>18179</v>
      </c>
      <c r="G9" s="2">
        <f t="shared" si="0"/>
        <v>1767.8333333333333</v>
      </c>
      <c r="H9" s="13"/>
      <c r="J9" s="14"/>
      <c r="K9" s="17"/>
    </row>
    <row r="10" spans="1:11" ht="12.75">
      <c r="A10" t="s">
        <v>19</v>
      </c>
      <c r="B10" s="34">
        <v>13</v>
      </c>
      <c r="C10" s="2">
        <v>21333</v>
      </c>
      <c r="D10" s="36">
        <v>8000</v>
      </c>
      <c r="E10" s="2">
        <f t="shared" si="1"/>
        <v>2909</v>
      </c>
      <c r="G10" s="2">
        <f t="shared" si="0"/>
        <v>391.61538461538464</v>
      </c>
      <c r="H10" s="13"/>
      <c r="J10" s="14"/>
      <c r="K10" s="17"/>
    </row>
    <row r="11" spans="1:11" ht="12.75">
      <c r="A11" t="s">
        <v>9</v>
      </c>
      <c r="B11" s="34">
        <v>13</v>
      </c>
      <c r="C11" s="2"/>
      <c r="D11" s="36">
        <v>8000</v>
      </c>
      <c r="E11" s="2">
        <f t="shared" si="1"/>
        <v>2909</v>
      </c>
      <c r="G11" s="2">
        <f t="shared" si="0"/>
        <v>391.61538461538464</v>
      </c>
      <c r="H11" s="13"/>
      <c r="J11" s="14"/>
      <c r="K11" s="17"/>
    </row>
    <row r="12" spans="1:11" ht="12.75">
      <c r="A12" t="s">
        <v>8</v>
      </c>
      <c r="B12" s="34">
        <v>9</v>
      </c>
      <c r="D12" s="36">
        <v>2000</v>
      </c>
      <c r="E12" s="2">
        <f t="shared" si="1"/>
        <v>727</v>
      </c>
      <c r="G12" s="2">
        <f>(D12-E12)/B12</f>
        <v>141.44444444444446</v>
      </c>
      <c r="H12" s="13"/>
      <c r="J12" s="14"/>
      <c r="K12" s="17"/>
    </row>
    <row r="13" spans="1:11" ht="12.75">
      <c r="A13" t="s">
        <v>46</v>
      </c>
      <c r="B13" s="34">
        <v>3</v>
      </c>
      <c r="D13" s="36">
        <v>12000</v>
      </c>
      <c r="E13" s="2">
        <f t="shared" si="1"/>
        <v>4363</v>
      </c>
      <c r="G13" s="2">
        <f>(D13-E13)/B13</f>
        <v>2545.6666666666665</v>
      </c>
      <c r="H13" s="13"/>
      <c r="J13" s="14"/>
      <c r="K13" s="17"/>
    </row>
    <row r="14" spans="1:11" ht="12.75">
      <c r="A14" s="9" t="s">
        <v>26</v>
      </c>
      <c r="B14" s="34"/>
      <c r="C14" s="4">
        <f>SUM(C6:C13)</f>
        <v>132300</v>
      </c>
      <c r="D14" s="44">
        <f>SUM(D6:D13)</f>
        <v>128000</v>
      </c>
      <c r="E14" s="2">
        <f>SUM(E6:E13)</f>
        <v>46539</v>
      </c>
      <c r="F14" s="2">
        <f>B62</f>
        <v>46537</v>
      </c>
      <c r="G14" s="2"/>
      <c r="H14" s="14">
        <f>SUM(G6:G13)</f>
        <v>8382.634004884005</v>
      </c>
      <c r="J14" s="14">
        <f>F14+H14</f>
        <v>54919.63400488401</v>
      </c>
      <c r="K14" s="17">
        <f>J50</f>
        <v>8382.634004884007</v>
      </c>
    </row>
    <row r="15" spans="1:11" ht="12.75">
      <c r="A15" s="7"/>
      <c r="B15" s="35"/>
      <c r="C15" s="8"/>
      <c r="D15" s="35"/>
      <c r="E15" s="8"/>
      <c r="G15" s="8"/>
      <c r="H15" s="13"/>
      <c r="J15" s="14"/>
      <c r="K15" s="17"/>
    </row>
    <row r="16" spans="1:11" ht="12.75">
      <c r="A16" t="s">
        <v>35</v>
      </c>
      <c r="B16" s="34">
        <v>11</v>
      </c>
      <c r="D16" s="36">
        <f>B51*$B$48</f>
        <v>40000</v>
      </c>
      <c r="E16" s="88">
        <f>(ROUND((D16/$D$21)*$F$21,0))-2335</f>
        <v>7161</v>
      </c>
      <c r="F16" s="2"/>
      <c r="G16" s="2">
        <f>(D16-E16)/B16</f>
        <v>2985.3636363636365</v>
      </c>
      <c r="H16" s="13"/>
      <c r="J16" s="14"/>
      <c r="K16" s="17"/>
    </row>
    <row r="17" spans="1:11" ht="12.75">
      <c r="A17" t="s">
        <v>47</v>
      </c>
      <c r="B17" s="34">
        <v>6</v>
      </c>
      <c r="C17" s="2"/>
      <c r="D17" s="36">
        <v>19000</v>
      </c>
      <c r="E17" s="2">
        <f>ROUND((D17/$D$21)*$F$21,0)-3700</f>
        <v>811</v>
      </c>
      <c r="F17" s="2"/>
      <c r="G17" s="2">
        <f>(D17-E17)/B17</f>
        <v>3031.5</v>
      </c>
      <c r="H17" s="13"/>
      <c r="J17" s="14"/>
      <c r="K17" s="17"/>
    </row>
    <row r="18" spans="1:11" ht="12.75">
      <c r="A18" t="s">
        <v>48</v>
      </c>
      <c r="B18" s="34">
        <v>24</v>
      </c>
      <c r="C18" s="2"/>
      <c r="D18" s="36">
        <v>12000</v>
      </c>
      <c r="E18" s="2">
        <f>ROUND((D18/$D$21)*$F$21,0)</f>
        <v>2849</v>
      </c>
      <c r="F18" s="2"/>
      <c r="G18" s="2">
        <f>(D18-E18)/B18</f>
        <v>381.2916666666667</v>
      </c>
      <c r="H18" s="13"/>
      <c r="J18" s="14"/>
      <c r="K18" s="17"/>
    </row>
    <row r="19" spans="1:11" ht="12.75">
      <c r="A19" t="s">
        <v>11</v>
      </c>
      <c r="B19" s="34">
        <v>10</v>
      </c>
      <c r="C19" s="2"/>
      <c r="D19" s="36">
        <v>3000</v>
      </c>
      <c r="E19" s="2">
        <f>ROUND((D19/$D$21)*$F$21,0)</f>
        <v>712</v>
      </c>
      <c r="F19" s="2"/>
      <c r="G19" s="2">
        <f>(D19-E19)/B19</f>
        <v>228.8</v>
      </c>
      <c r="H19" s="13"/>
      <c r="J19" s="14"/>
      <c r="K19" s="17"/>
    </row>
    <row r="20" spans="1:11" ht="12.75">
      <c r="A20" t="s">
        <v>78</v>
      </c>
      <c r="B20" s="34"/>
      <c r="C20" s="2"/>
      <c r="D20" s="36"/>
      <c r="E20" s="2"/>
      <c r="F20" s="2"/>
      <c r="G20" s="2"/>
      <c r="H20" s="13"/>
      <c r="J20" s="14"/>
      <c r="K20" s="17"/>
    </row>
    <row r="21" spans="1:11" ht="12.75">
      <c r="A21" s="9" t="s">
        <v>13</v>
      </c>
      <c r="B21" s="34"/>
      <c r="C21" s="4">
        <v>31293</v>
      </c>
      <c r="D21" s="44">
        <f>SUM(D16:D19)</f>
        <v>74000</v>
      </c>
      <c r="E21" s="2">
        <f>SUM(E16:E19)</f>
        <v>11533</v>
      </c>
      <c r="F21" s="2">
        <f>B63</f>
        <v>17568</v>
      </c>
      <c r="G21" s="2"/>
      <c r="H21" s="14">
        <f>SUM(G16:G19)</f>
        <v>6626.955303030303</v>
      </c>
      <c r="J21" s="14">
        <f>F21+H21</f>
        <v>24194.955303030303</v>
      </c>
      <c r="K21" s="17">
        <f>J51</f>
        <v>6626.955303030303</v>
      </c>
    </row>
    <row r="22" spans="2:11" ht="12.75">
      <c r="B22" s="34"/>
      <c r="C22" s="2"/>
      <c r="D22" s="36"/>
      <c r="E22" s="2"/>
      <c r="G22" s="2"/>
      <c r="H22" s="13"/>
      <c r="J22" s="14"/>
      <c r="K22" s="17"/>
    </row>
    <row r="23" spans="1:11" ht="12.75">
      <c r="A23" t="s">
        <v>36</v>
      </c>
      <c r="B23" s="34">
        <v>11</v>
      </c>
      <c r="D23" s="36">
        <f>B52*$B$48</f>
        <v>28000</v>
      </c>
      <c r="E23" s="88">
        <f>ROUND((D23/$D$28)*$F$28,0)-1695</f>
        <v>8200</v>
      </c>
      <c r="G23" s="2">
        <f>(D23-E23)/B23</f>
        <v>1800</v>
      </c>
      <c r="H23" s="13"/>
      <c r="J23" s="14"/>
      <c r="K23" s="17"/>
    </row>
    <row r="24" spans="1:11" ht="12.75">
      <c r="A24" t="s">
        <v>51</v>
      </c>
      <c r="B24" s="34">
        <v>6</v>
      </c>
      <c r="C24" s="2"/>
      <c r="D24" s="36">
        <v>8700</v>
      </c>
      <c r="E24" s="2">
        <f>ROUND((D24/$D$28)*$F$28,0)-1700</f>
        <v>1374</v>
      </c>
      <c r="G24" s="2">
        <f>(D24-E24)/B24</f>
        <v>1221</v>
      </c>
      <c r="H24" s="13"/>
      <c r="J24" s="14"/>
      <c r="K24" s="17"/>
    </row>
    <row r="25" spans="1:11" ht="12.75">
      <c r="A25" t="s">
        <v>49</v>
      </c>
      <c r="B25" s="34">
        <v>24</v>
      </c>
      <c r="C25" s="37"/>
      <c r="D25" s="36">
        <v>7000</v>
      </c>
      <c r="E25" s="2">
        <f>ROUND((D25/$D$28)*$F$28,0)</f>
        <v>2474</v>
      </c>
      <c r="G25" s="2">
        <f>(D25-E25)/B25</f>
        <v>188.58333333333334</v>
      </c>
      <c r="H25" s="14" t="s">
        <v>20</v>
      </c>
      <c r="J25" s="14"/>
      <c r="K25" s="17"/>
    </row>
    <row r="26" spans="1:11" ht="12.75">
      <c r="A26" t="s">
        <v>10</v>
      </c>
      <c r="B26" s="34">
        <v>10</v>
      </c>
      <c r="C26" s="37"/>
      <c r="D26" s="36">
        <v>2200</v>
      </c>
      <c r="E26" s="2">
        <f>ROUND((D26/$D$28)*$F$28,0)</f>
        <v>777</v>
      </c>
      <c r="F26" s="2" t="s">
        <v>20</v>
      </c>
      <c r="G26" s="2">
        <f>(D26-E26)/B26</f>
        <v>142.3</v>
      </c>
      <c r="H26" s="14"/>
      <c r="J26" s="14"/>
      <c r="K26" s="17"/>
    </row>
    <row r="27" spans="1:11" ht="12.75">
      <c r="A27" t="s">
        <v>79</v>
      </c>
      <c r="B27" s="34"/>
      <c r="C27" s="37"/>
      <c r="D27" s="36"/>
      <c r="E27" s="2"/>
      <c r="F27" s="2"/>
      <c r="G27" s="2"/>
      <c r="H27" s="14"/>
      <c r="J27" s="14"/>
      <c r="K27" s="17"/>
    </row>
    <row r="28" spans="1:11" ht="12.75">
      <c r="A28" s="9" t="s">
        <v>15</v>
      </c>
      <c r="B28" s="34"/>
      <c r="C28" s="38">
        <v>22500</v>
      </c>
      <c r="D28" s="44">
        <f>SUM(D23:D26)</f>
        <v>45900</v>
      </c>
      <c r="E28" s="2">
        <f>SUM(E23:E26)</f>
        <v>12825</v>
      </c>
      <c r="F28" s="2">
        <f>B64</f>
        <v>16220</v>
      </c>
      <c r="G28" s="2"/>
      <c r="H28" s="14">
        <f>SUM(G23:G26)</f>
        <v>3351.8833333333337</v>
      </c>
      <c r="J28" s="14">
        <f>F28+H28</f>
        <v>19571.883333333335</v>
      </c>
      <c r="K28" s="17">
        <f>J52</f>
        <v>3351.883333333335</v>
      </c>
    </row>
    <row r="29" spans="2:11" ht="12.75">
      <c r="B29" s="34"/>
      <c r="C29" s="37"/>
      <c r="D29" s="36"/>
      <c r="E29" s="2"/>
      <c r="G29" s="2"/>
      <c r="H29" s="13"/>
      <c r="J29" s="14"/>
      <c r="K29" s="17"/>
    </row>
    <row r="30" spans="1:11" ht="12.75">
      <c r="A30" t="s">
        <v>37</v>
      </c>
      <c r="B30" s="34">
        <v>9</v>
      </c>
      <c r="C30" s="39"/>
      <c r="D30" s="36">
        <f>B53*$B$48</f>
        <v>8000</v>
      </c>
      <c r="E30" s="88">
        <f>ROUND((D30/$D$35)*$F$35,0)-303</f>
        <v>4585</v>
      </c>
      <c r="G30" s="2">
        <f>(D30-E30)/B30</f>
        <v>379.44444444444446</v>
      </c>
      <c r="H30" s="13"/>
      <c r="J30" s="14"/>
      <c r="K30" s="17"/>
    </row>
    <row r="31" spans="1:11" ht="12.75">
      <c r="A31" t="s">
        <v>52</v>
      </c>
      <c r="B31" s="34">
        <v>6</v>
      </c>
      <c r="C31" s="37"/>
      <c r="D31" s="36">
        <v>8300</v>
      </c>
      <c r="E31" s="2">
        <f>ROUND((D31/$D$35)*$F$35,0)-1600</f>
        <v>3471</v>
      </c>
      <c r="G31" s="2">
        <f>(D31-E31)/B31</f>
        <v>804.8333333333334</v>
      </c>
      <c r="H31" s="13"/>
      <c r="J31" s="14"/>
      <c r="K31" s="17"/>
    </row>
    <row r="32" spans="1:11" ht="12.75">
      <c r="A32" t="s">
        <v>50</v>
      </c>
      <c r="B32" s="34">
        <v>24</v>
      </c>
      <c r="C32" s="37"/>
      <c r="D32" s="36">
        <v>3000</v>
      </c>
      <c r="E32" s="2">
        <f>ROUND((D32/$D$35)*$F$35,0)</f>
        <v>1833</v>
      </c>
      <c r="G32" s="2">
        <f>(D32-E32)/B32</f>
        <v>48.625</v>
      </c>
      <c r="H32" s="14" t="s">
        <v>20</v>
      </c>
      <c r="J32" s="14"/>
      <c r="K32" s="17"/>
    </row>
    <row r="33" spans="1:11" ht="12.75">
      <c r="A33" t="s">
        <v>12</v>
      </c>
      <c r="B33" s="34">
        <v>10</v>
      </c>
      <c r="C33" s="2"/>
      <c r="D33" s="36">
        <v>1000</v>
      </c>
      <c r="E33" s="2">
        <f>ROUND((D33/$D$35)*$F$35,0)</f>
        <v>611</v>
      </c>
      <c r="F33" s="2" t="s">
        <v>20</v>
      </c>
      <c r="G33" s="2">
        <f>(D33-E33)/B33</f>
        <v>38.9</v>
      </c>
      <c r="H33" s="14"/>
      <c r="J33" s="14"/>
      <c r="K33" s="17"/>
    </row>
    <row r="34" spans="1:11" ht="12.75">
      <c r="A34" t="s">
        <v>80</v>
      </c>
      <c r="B34" s="34"/>
      <c r="C34" s="2"/>
      <c r="D34" s="36"/>
      <c r="E34" s="2"/>
      <c r="F34" s="2"/>
      <c r="G34" s="2"/>
      <c r="H34" s="14"/>
      <c r="J34" s="14"/>
      <c r="K34" s="17"/>
    </row>
    <row r="35" spans="1:11" ht="12.75">
      <c r="A35" s="9" t="s">
        <v>14</v>
      </c>
      <c r="B35" s="34"/>
      <c r="C35" s="4">
        <v>8000</v>
      </c>
      <c r="D35" s="44">
        <f>SUM(D30:D33)</f>
        <v>20300</v>
      </c>
      <c r="E35" s="2">
        <f>SUM(E30:E33)</f>
        <v>10500</v>
      </c>
      <c r="F35" s="2">
        <f>B65</f>
        <v>12403</v>
      </c>
      <c r="G35" s="2"/>
      <c r="H35" s="14">
        <f>SUM(G30:G33)</f>
        <v>1271.802777777778</v>
      </c>
      <c r="J35" s="14">
        <f>F35+H35</f>
        <v>13674.802777777779</v>
      </c>
      <c r="K35" s="17">
        <f>J53</f>
        <v>1271.8027777777788</v>
      </c>
    </row>
    <row r="36" spans="2:11" ht="12.75">
      <c r="B36" s="34"/>
      <c r="C36" s="2"/>
      <c r="D36" s="36"/>
      <c r="E36" s="2"/>
      <c r="G36" s="2"/>
      <c r="H36" s="13"/>
      <c r="J36" s="14"/>
      <c r="K36" s="17"/>
    </row>
    <row r="37" spans="1:11" ht="12.75">
      <c r="A37" t="s">
        <v>38</v>
      </c>
      <c r="B37" s="34">
        <v>15</v>
      </c>
      <c r="C37" s="2"/>
      <c r="D37" s="36">
        <f>B54*$B$48</f>
        <v>12000</v>
      </c>
      <c r="E37" s="2">
        <f>ROUND((D37/$D$41)*$F$41,0)</f>
        <v>5185</v>
      </c>
      <c r="G37" s="2">
        <f>(D37-E37)/B37</f>
        <v>454.3333333333333</v>
      </c>
      <c r="H37" s="13"/>
      <c r="J37" s="14"/>
      <c r="K37" s="17"/>
    </row>
    <row r="38" spans="1:11" ht="12.75">
      <c r="A38" s="42" t="s">
        <v>58</v>
      </c>
      <c r="B38" s="34">
        <v>14</v>
      </c>
      <c r="C38" s="2"/>
      <c r="D38" s="36">
        <f>C54*$B$49</f>
        <v>8370</v>
      </c>
      <c r="E38" s="2">
        <f>ROUND((D38/$D$41)*$F$41,0)</f>
        <v>3616</v>
      </c>
      <c r="G38" s="2">
        <f>(D38-E38)/B38</f>
        <v>339.57142857142856</v>
      </c>
      <c r="H38" s="13"/>
      <c r="J38" s="14"/>
      <c r="K38" s="17"/>
    </row>
    <row r="39" spans="1:11" ht="12.75">
      <c r="A39" s="42" t="s">
        <v>59</v>
      </c>
      <c r="B39" s="34">
        <v>9</v>
      </c>
      <c r="C39" s="2"/>
      <c r="D39" s="36">
        <v>1500</v>
      </c>
      <c r="E39" s="2">
        <f>ROUND((D39/$D$41)*$F$41,0)</f>
        <v>648</v>
      </c>
      <c r="G39" s="2">
        <f>(D39-E39)/B39</f>
        <v>94.66666666666667</v>
      </c>
      <c r="H39" s="13"/>
      <c r="J39" s="14"/>
      <c r="K39" s="17"/>
    </row>
    <row r="40" spans="1:11" ht="12.75">
      <c r="A40" s="42" t="s">
        <v>81</v>
      </c>
      <c r="B40" s="34"/>
      <c r="C40" s="2"/>
      <c r="D40" s="36"/>
      <c r="E40" s="2"/>
      <c r="G40" s="2"/>
      <c r="H40" s="13"/>
      <c r="J40" s="14"/>
      <c r="K40" s="17"/>
    </row>
    <row r="41" spans="1:11" ht="12.75">
      <c r="A41" s="9" t="s">
        <v>16</v>
      </c>
      <c r="B41" s="39"/>
      <c r="C41" s="4"/>
      <c r="D41" s="44">
        <f>D37+D38+D39</f>
        <v>21870</v>
      </c>
      <c r="E41" s="2">
        <f>SUM(E37:E39)</f>
        <v>9449</v>
      </c>
      <c r="F41" s="2">
        <f>B66</f>
        <v>9449</v>
      </c>
      <c r="G41" s="2"/>
      <c r="H41" s="14">
        <f>SUM(G37:G38)</f>
        <v>793.9047619047619</v>
      </c>
      <c r="J41" s="14">
        <f>F41+H41</f>
        <v>10242.904761904761</v>
      </c>
      <c r="K41" s="17">
        <f>J54</f>
        <v>793.9047619047615</v>
      </c>
    </row>
    <row r="42" spans="2:11" ht="12.75">
      <c r="B42" s="3"/>
      <c r="C42" s="2"/>
      <c r="D42" s="23"/>
      <c r="E42" s="2"/>
      <c r="G42" s="2"/>
      <c r="H42" s="13"/>
      <c r="J42" s="48"/>
      <c r="K42" s="17"/>
    </row>
    <row r="43" spans="2:11" ht="12.75">
      <c r="B43" s="3"/>
      <c r="D43" s="2"/>
      <c r="E43" s="2"/>
      <c r="F43" s="2"/>
      <c r="G43" s="2"/>
      <c r="H43" s="13"/>
      <c r="J43" s="48"/>
      <c r="K43" s="49"/>
    </row>
    <row r="44" spans="1:11" ht="12.75">
      <c r="A44" s="9" t="s">
        <v>22</v>
      </c>
      <c r="B44" s="3"/>
      <c r="C44" s="4">
        <f>C14+C21+C28+C35+C41</f>
        <v>194093</v>
      </c>
      <c r="D44" s="4">
        <f>D14+D21+D28+D35+D41</f>
        <v>290070</v>
      </c>
      <c r="E44" s="5">
        <f>E14+E21+E28+E35+E41</f>
        <v>90846</v>
      </c>
      <c r="F44" s="11">
        <f>F14+F21+F28+F35+F41</f>
        <v>102177</v>
      </c>
      <c r="G44" s="10" t="s">
        <v>20</v>
      </c>
      <c r="H44" s="11">
        <f>H14+H21+H28+H35+H41</f>
        <v>20427.180180930183</v>
      </c>
      <c r="J44" s="11">
        <f>J14+J21+J28+J35+J41</f>
        <v>122604.18018093018</v>
      </c>
      <c r="K44" s="46">
        <f>K14+K21+K28+K35+K41</f>
        <v>20427.180180930183</v>
      </c>
    </row>
    <row r="46" spans="6:7" ht="12.75">
      <c r="F46" s="15" t="s">
        <v>76</v>
      </c>
      <c r="G46" s="15" t="s">
        <v>65</v>
      </c>
    </row>
    <row r="47" spans="6:9" ht="12.75">
      <c r="F47" s="31" t="s">
        <v>77</v>
      </c>
      <c r="G47" s="15" t="s">
        <v>77</v>
      </c>
      <c r="I47" s="30" t="s">
        <v>67</v>
      </c>
    </row>
    <row r="48" spans="1:10" ht="12.75">
      <c r="A48" s="59" t="s">
        <v>39</v>
      </c>
      <c r="B48" s="81">
        <v>4000</v>
      </c>
      <c r="C48" s="12" t="s">
        <v>68</v>
      </c>
      <c r="E48" s="61"/>
      <c r="F48" s="24"/>
      <c r="G48" s="73" t="s">
        <v>75</v>
      </c>
      <c r="H48" s="65" t="s">
        <v>55</v>
      </c>
      <c r="I48" s="62"/>
      <c r="J48" s="75" t="s">
        <v>66</v>
      </c>
    </row>
    <row r="49" spans="1:10" ht="12.75">
      <c r="A49" s="22" t="s">
        <v>70</v>
      </c>
      <c r="B49" s="77">
        <v>2</v>
      </c>
      <c r="C49" s="13" t="s">
        <v>69</v>
      </c>
      <c r="E49" s="18" t="s">
        <v>42</v>
      </c>
      <c r="F49" s="8"/>
      <c r="G49" s="12"/>
      <c r="H49" s="12"/>
      <c r="I49" s="8"/>
      <c r="J49" s="12"/>
    </row>
    <row r="50" spans="1:10" ht="12.75">
      <c r="A50" s="18" t="s">
        <v>40</v>
      </c>
      <c r="B50" s="35"/>
      <c r="C50" s="13"/>
      <c r="E50" s="18"/>
      <c r="F50" s="8" t="s">
        <v>34</v>
      </c>
      <c r="G50" s="14">
        <f>$F$14</f>
        <v>46537</v>
      </c>
      <c r="H50" s="14">
        <f>J14</f>
        <v>54919.63400488401</v>
      </c>
      <c r="I50" s="10"/>
      <c r="J50" s="14">
        <f>H50-G50</f>
        <v>8382.634004884007</v>
      </c>
    </row>
    <row r="51" spans="1:15" ht="12.75">
      <c r="A51" s="18" t="str">
        <f>F51</f>
        <v>LCA 1</v>
      </c>
      <c r="B51" s="35">
        <v>10</v>
      </c>
      <c r="C51" s="20">
        <v>8502</v>
      </c>
      <c r="E51" s="18">
        <v>10</v>
      </c>
      <c r="F51" s="8" t="s">
        <v>29</v>
      </c>
      <c r="G51" s="14">
        <f>$F$21</f>
        <v>17568</v>
      </c>
      <c r="H51" s="14">
        <f>J21</f>
        <v>24194.955303030303</v>
      </c>
      <c r="I51" s="10"/>
      <c r="J51" s="14">
        <f>H51-G51</f>
        <v>6626.955303030303</v>
      </c>
      <c r="O51" s="50"/>
    </row>
    <row r="52" spans="1:10" ht="12.75">
      <c r="A52" s="18" t="str">
        <f>F52</f>
        <v>LCA 2</v>
      </c>
      <c r="B52" s="35">
        <v>7</v>
      </c>
      <c r="C52" s="20">
        <v>5242</v>
      </c>
      <c r="E52" s="18">
        <v>8</v>
      </c>
      <c r="F52" s="8" t="s">
        <v>30</v>
      </c>
      <c r="G52" s="14">
        <f>$F$28</f>
        <v>16220</v>
      </c>
      <c r="H52" s="14">
        <f>J28</f>
        <v>19571.883333333335</v>
      </c>
      <c r="I52" s="10"/>
      <c r="J52" s="14">
        <f>H52-G52</f>
        <v>3351.883333333335</v>
      </c>
    </row>
    <row r="53" spans="1:10" ht="12.75">
      <c r="A53" s="18" t="str">
        <f>F53</f>
        <v>LCA 3</v>
      </c>
      <c r="B53" s="35">
        <v>2</v>
      </c>
      <c r="C53" s="20">
        <v>4350</v>
      </c>
      <c r="E53" s="18">
        <v>6</v>
      </c>
      <c r="F53" s="8" t="s">
        <v>31</v>
      </c>
      <c r="G53" s="14">
        <f>$F$35</f>
        <v>12403</v>
      </c>
      <c r="H53" s="14">
        <f>J35</f>
        <v>13674.802777777779</v>
      </c>
      <c r="I53" s="10"/>
      <c r="J53" s="14">
        <f>H53-G53</f>
        <v>1271.8027777777788</v>
      </c>
    </row>
    <row r="54" spans="1:10" ht="12.75">
      <c r="A54" s="60" t="str">
        <f>F54</f>
        <v>LCA 4</v>
      </c>
      <c r="B54" s="82">
        <v>3</v>
      </c>
      <c r="C54" s="21">
        <v>4185</v>
      </c>
      <c r="E54" s="18">
        <v>4</v>
      </c>
      <c r="F54" s="8" t="s">
        <v>32</v>
      </c>
      <c r="G54" s="14">
        <f>$F$41</f>
        <v>9449</v>
      </c>
      <c r="H54" s="14">
        <f>J41</f>
        <v>10242.904761904761</v>
      </c>
      <c r="I54" s="10"/>
      <c r="J54" s="14">
        <f>H54-G54</f>
        <v>793.9047619047615</v>
      </c>
    </row>
    <row r="55" spans="2:10" ht="12.75">
      <c r="B55" s="1" t="s">
        <v>90</v>
      </c>
      <c r="C55" s="85">
        <f>C51+C52+C53+C54</f>
        <v>22279</v>
      </c>
      <c r="E55" s="60"/>
      <c r="F55" s="63"/>
      <c r="G55" s="74"/>
      <c r="H55" s="74"/>
      <c r="I55" s="64"/>
      <c r="J55" s="74"/>
    </row>
    <row r="56" spans="7:10" ht="12.75">
      <c r="G56" s="10">
        <f>SUM(G50:G54)</f>
        <v>102177</v>
      </c>
      <c r="H56" s="10">
        <f>SUM(H50:H54)</f>
        <v>122604.18018093018</v>
      </c>
      <c r="I56" s="10"/>
      <c r="J56" s="10">
        <f>SUM(J50:J54)</f>
        <v>20427.180180930183</v>
      </c>
    </row>
    <row r="57" spans="10:17" ht="12.75">
      <c r="J57" s="1"/>
      <c r="Q57" s="51"/>
    </row>
    <row r="58" spans="1:17" ht="12.75">
      <c r="A58" s="43" t="s">
        <v>64</v>
      </c>
      <c r="E58" s="26" t="s">
        <v>43</v>
      </c>
      <c r="F58" s="24"/>
      <c r="G58" s="83" t="str">
        <f>F51</f>
        <v>LCA 1</v>
      </c>
      <c r="H58" s="83" t="str">
        <f>F52</f>
        <v>LCA 2</v>
      </c>
      <c r="I58" s="83" t="str">
        <f>F53</f>
        <v>LCA 3</v>
      </c>
      <c r="J58" s="84" t="str">
        <f>F54</f>
        <v>LCA 4</v>
      </c>
      <c r="L58" s="7"/>
      <c r="M58" s="7"/>
      <c r="N58" s="7"/>
      <c r="Q58" s="51"/>
    </row>
    <row r="59" spans="5:10" ht="12.75">
      <c r="E59" s="22"/>
      <c r="F59" s="8"/>
      <c r="G59" s="8"/>
      <c r="H59" s="8"/>
      <c r="I59" s="8"/>
      <c r="J59" s="19"/>
    </row>
    <row r="60" spans="1:10" ht="12.75">
      <c r="A60" s="65" t="s">
        <v>63</v>
      </c>
      <c r="B60" s="76" t="s">
        <v>99</v>
      </c>
      <c r="C60" s="78" t="s">
        <v>82</v>
      </c>
      <c r="E60" s="22" t="s">
        <v>44</v>
      </c>
      <c r="F60" s="8"/>
      <c r="G60" s="10">
        <f>(G16/B51)/4</f>
        <v>74.63409090909092</v>
      </c>
      <c r="H60" s="10">
        <f>(G23/B52)/4</f>
        <v>64.28571428571429</v>
      </c>
      <c r="I60" s="10">
        <f>(G30/B53)/4</f>
        <v>47.43055555555556</v>
      </c>
      <c r="J60" s="25">
        <f>(G37/B54)/4</f>
        <v>37.86111111111111</v>
      </c>
    </row>
    <row r="61" spans="1:10" ht="12.75">
      <c r="A61" s="22"/>
      <c r="B61" s="8"/>
      <c r="C61" s="13" t="s">
        <v>41</v>
      </c>
      <c r="E61" s="22" t="s">
        <v>56</v>
      </c>
      <c r="F61" s="8"/>
      <c r="G61" s="10">
        <f>G17/E51/4</f>
        <v>75.7875</v>
      </c>
      <c r="H61" s="10">
        <f>G24/E52/4</f>
        <v>38.15625</v>
      </c>
      <c r="I61" s="10">
        <f>G31/E53/4</f>
        <v>33.53472222222222</v>
      </c>
      <c r="J61" s="25">
        <f>G38/E54/4</f>
        <v>21.223214285714285</v>
      </c>
    </row>
    <row r="62" spans="1:10" ht="12.75">
      <c r="A62" s="66" t="s">
        <v>34</v>
      </c>
      <c r="B62" s="77">
        <v>46537</v>
      </c>
      <c r="C62" s="13"/>
      <c r="E62" s="22" t="s">
        <v>57</v>
      </c>
      <c r="F62" s="8"/>
      <c r="G62" s="10">
        <f>G18/E52/4</f>
        <v>11.915364583333334</v>
      </c>
      <c r="H62" s="10">
        <f>G25/E53/4</f>
        <v>7.857638888888889</v>
      </c>
      <c r="I62" s="10">
        <f>G32/E54/4</f>
        <v>3.0390625</v>
      </c>
      <c r="J62" s="25">
        <f>G39/E54/4</f>
        <v>5.916666666666667</v>
      </c>
    </row>
    <row r="63" spans="1:10" ht="12.75">
      <c r="A63" s="66" t="s">
        <v>29</v>
      </c>
      <c r="B63" s="77">
        <v>17568</v>
      </c>
      <c r="C63" s="79">
        <v>372</v>
      </c>
      <c r="E63" s="22" t="s">
        <v>45</v>
      </c>
      <c r="F63" s="8"/>
      <c r="G63" s="10">
        <f>G19/E51/4</f>
        <v>5.720000000000001</v>
      </c>
      <c r="H63" s="10">
        <f>G26/E52/4</f>
        <v>4.446875</v>
      </c>
      <c r="I63" s="10">
        <f>G33/E53/4</f>
        <v>1.6208333333333333</v>
      </c>
      <c r="J63" s="25"/>
    </row>
    <row r="64" spans="1:10" ht="12.75">
      <c r="A64" s="66" t="s">
        <v>30</v>
      </c>
      <c r="B64" s="77">
        <v>16220</v>
      </c>
      <c r="C64" s="79">
        <v>285</v>
      </c>
      <c r="E64" s="53" t="s">
        <v>83</v>
      </c>
      <c r="F64" s="8"/>
      <c r="G64" s="10">
        <f>IF($C$69=1,C63/E51/4,0)</f>
        <v>0</v>
      </c>
      <c r="H64" s="10">
        <f>IF($C$69=1,C64/E52/4,0)</f>
        <v>0</v>
      </c>
      <c r="I64" s="10">
        <f>IF($C$69=1,C65/E53/4,0)</f>
        <v>0</v>
      </c>
      <c r="J64" s="25">
        <f>IF($C$69=1,C66/E54/4,0)</f>
        <v>0</v>
      </c>
    </row>
    <row r="65" spans="1:10" ht="12.75">
      <c r="A65" s="66" t="s">
        <v>31</v>
      </c>
      <c r="B65" s="77">
        <v>12403</v>
      </c>
      <c r="C65" s="79">
        <f>203+183</f>
        <v>386</v>
      </c>
      <c r="E65" s="18"/>
      <c r="F65" s="8"/>
      <c r="G65" s="8"/>
      <c r="H65" s="8"/>
      <c r="I65" s="8"/>
      <c r="J65" s="54"/>
    </row>
    <row r="66" spans="1:10" ht="12.75">
      <c r="A66" s="66" t="s">
        <v>32</v>
      </c>
      <c r="B66" s="77">
        <v>9449</v>
      </c>
      <c r="C66" s="79">
        <v>200</v>
      </c>
      <c r="E66" s="27" t="s">
        <v>61</v>
      </c>
      <c r="F66" s="28"/>
      <c r="G66" s="40">
        <f>SUM(G60:G64)</f>
        <v>168.05695549242427</v>
      </c>
      <c r="H66" s="40">
        <f>SUM(H60:H64)</f>
        <v>114.74647817460318</v>
      </c>
      <c r="I66" s="40">
        <f>SUM(I60:I64)</f>
        <v>85.62517361111111</v>
      </c>
      <c r="J66" s="41">
        <f>SUM(J60:J64)</f>
        <v>65.00099206349206</v>
      </c>
    </row>
    <row r="67" spans="1:9" ht="12.75">
      <c r="A67" s="60"/>
      <c r="B67" s="71"/>
      <c r="C67" s="80"/>
      <c r="E67" s="31" t="s">
        <v>62</v>
      </c>
      <c r="F67" s="15"/>
      <c r="G67" s="32"/>
      <c r="H67" s="32">
        <f>SUM(H61:H64)</f>
        <v>50.460763888888884</v>
      </c>
      <c r="I67" s="32">
        <f>SUM(I61:I64)</f>
        <v>38.19461805555555</v>
      </c>
    </row>
    <row r="68" ht="12.75">
      <c r="J68" s="32"/>
    </row>
    <row r="69" spans="1:10" ht="12.75">
      <c r="A69" s="55" t="s">
        <v>84</v>
      </c>
      <c r="C69" s="34">
        <v>0</v>
      </c>
      <c r="E69" s="52" t="s">
        <v>71</v>
      </c>
      <c r="G69" s="2">
        <v>111</v>
      </c>
      <c r="H69" s="2">
        <v>102</v>
      </c>
      <c r="I69" s="2">
        <v>80</v>
      </c>
      <c r="J69" s="2">
        <v>99</v>
      </c>
    </row>
    <row r="70" ht="13.5" thickBot="1"/>
    <row r="71" spans="1:10" ht="13.5" thickBot="1">
      <c r="A71" t="s">
        <v>85</v>
      </c>
      <c r="E71" s="89" t="s">
        <v>100</v>
      </c>
      <c r="F71" s="90"/>
      <c r="G71" s="91">
        <f>G66-G69</f>
        <v>57.056955492424265</v>
      </c>
      <c r="H71" s="91">
        <f>H66-H69</f>
        <v>12.746478174603183</v>
      </c>
      <c r="I71" s="91">
        <f>I66-I69</f>
        <v>5.625173611111109</v>
      </c>
      <c r="J71" s="92">
        <f>J66-J69</f>
        <v>-33.99900793650794</v>
      </c>
    </row>
    <row r="72" ht="12.75">
      <c r="J72" s="1"/>
    </row>
    <row r="73" spans="5:11" ht="12.75">
      <c r="E73" s="93" t="s">
        <v>101</v>
      </c>
      <c r="F73" s="94"/>
      <c r="G73" s="94">
        <v>135</v>
      </c>
      <c r="H73" s="94">
        <v>110</v>
      </c>
      <c r="I73" s="94">
        <v>86</v>
      </c>
      <c r="J73" s="95">
        <v>65</v>
      </c>
      <c r="K73" s="52"/>
    </row>
    <row r="74" spans="7:11" ht="12.75">
      <c r="G74" s="52"/>
      <c r="H74" s="52"/>
      <c r="I74" s="52"/>
      <c r="J74" s="52"/>
      <c r="K74" s="52"/>
    </row>
    <row r="75" spans="7:11" ht="12.75">
      <c r="G75" s="52"/>
      <c r="H75" s="52"/>
      <c r="I75" s="52"/>
      <c r="J75" s="52"/>
      <c r="K75" s="52"/>
    </row>
    <row r="76" spans="5:11" ht="12.75">
      <c r="E76" s="8"/>
      <c r="G76" s="52"/>
      <c r="H76" s="52"/>
      <c r="I76" s="52"/>
      <c r="J76" s="52"/>
      <c r="K76" s="52"/>
    </row>
    <row r="77" spans="1:11" ht="12.75">
      <c r="A77" s="26" t="s">
        <v>86</v>
      </c>
      <c r="B77" s="24"/>
      <c r="C77" s="24"/>
      <c r="D77" s="67"/>
      <c r="E77" s="8"/>
      <c r="F77" s="31" t="s">
        <v>91</v>
      </c>
      <c r="G77" s="52"/>
      <c r="H77" s="52"/>
      <c r="I77" s="52"/>
      <c r="J77" s="52"/>
      <c r="K77" s="52"/>
    </row>
    <row r="78" spans="1:11" ht="12.75">
      <c r="A78" s="22"/>
      <c r="B78" s="8"/>
      <c r="C78" s="8"/>
      <c r="D78" s="19"/>
      <c r="E78" s="8"/>
      <c r="F78" s="52"/>
      <c r="G78" s="52"/>
      <c r="H78" s="52"/>
      <c r="I78" s="52"/>
      <c r="J78" s="52"/>
      <c r="K78" s="52"/>
    </row>
    <row r="79" spans="1:11" ht="12.75">
      <c r="A79" s="53" t="s">
        <v>73</v>
      </c>
      <c r="B79" s="8">
        <v>52</v>
      </c>
      <c r="C79" s="57">
        <f>H14/62</f>
        <v>135.20377427232265</v>
      </c>
      <c r="D79" s="68">
        <f>C79*B79</f>
        <v>7030.596262160778</v>
      </c>
      <c r="E79" s="8"/>
      <c r="F79" s="87" t="s">
        <v>92</v>
      </c>
      <c r="G79" s="52"/>
      <c r="H79" s="52"/>
      <c r="I79" s="86"/>
      <c r="J79" s="52"/>
      <c r="K79" s="52"/>
    </row>
    <row r="80" spans="1:11" ht="12.75">
      <c r="A80" s="53" t="s">
        <v>74</v>
      </c>
      <c r="B80" s="8">
        <v>20</v>
      </c>
      <c r="C80" s="57">
        <f>C79/2</f>
        <v>67.60188713616132</v>
      </c>
      <c r="D80" s="68">
        <f>C80*B80</f>
        <v>1352.0377427232265</v>
      </c>
      <c r="E80" s="8"/>
      <c r="F80" s="87" t="s">
        <v>93</v>
      </c>
      <c r="G80" s="52"/>
      <c r="H80" s="52"/>
      <c r="I80" s="52"/>
      <c r="J80" s="52"/>
      <c r="K80" s="52"/>
    </row>
    <row r="81" spans="1:11" ht="12.75">
      <c r="A81" s="18"/>
      <c r="B81" s="8"/>
      <c r="C81" s="8"/>
      <c r="D81" s="68"/>
      <c r="E81" s="8"/>
      <c r="F81" s="87" t="s">
        <v>94</v>
      </c>
      <c r="G81" s="52"/>
      <c r="H81" s="52"/>
      <c r="I81" s="52"/>
      <c r="J81" s="52"/>
      <c r="K81" s="52"/>
    </row>
    <row r="82" spans="1:11" ht="12.75">
      <c r="A82" s="69" t="s">
        <v>87</v>
      </c>
      <c r="B82" s="8"/>
      <c r="C82" s="8"/>
      <c r="D82" s="68">
        <f>D79+D80</f>
        <v>8382.634004884005</v>
      </c>
      <c r="E82" s="56"/>
      <c r="F82" s="52" t="s">
        <v>97</v>
      </c>
      <c r="G82" s="52"/>
      <c r="H82" s="52"/>
      <c r="I82" s="52"/>
      <c r="J82" s="52"/>
      <c r="K82" s="52"/>
    </row>
    <row r="83" spans="1:11" ht="12.75">
      <c r="A83" s="18"/>
      <c r="B83" s="8"/>
      <c r="C83" s="8"/>
      <c r="D83" s="68"/>
      <c r="E83" s="8"/>
      <c r="G83" s="52"/>
      <c r="H83" s="52"/>
      <c r="I83" s="52"/>
      <c r="J83" s="52"/>
      <c r="K83" s="52"/>
    </row>
    <row r="84" spans="1:11" ht="12.75">
      <c r="A84" s="70" t="s">
        <v>72</v>
      </c>
      <c r="B84" s="71"/>
      <c r="C84" s="71"/>
      <c r="D84" s="72">
        <f>C79/4</f>
        <v>33.80094356808066</v>
      </c>
      <c r="G84" s="52"/>
      <c r="H84" s="52"/>
      <c r="I84" s="52"/>
      <c r="J84" s="52"/>
      <c r="K84" s="52"/>
    </row>
    <row r="85" spans="6:11" ht="12.75">
      <c r="F85" s="52"/>
      <c r="G85" s="52"/>
      <c r="H85" s="52"/>
      <c r="I85" s="52"/>
      <c r="J85" s="52"/>
      <c r="K85" s="52"/>
    </row>
    <row r="86" spans="1:11" ht="12.75">
      <c r="A86" s="42" t="s">
        <v>89</v>
      </c>
      <c r="F86" s="87" t="s">
        <v>95</v>
      </c>
      <c r="G86" s="52"/>
      <c r="H86" s="52"/>
      <c r="I86" s="52"/>
      <c r="J86" s="52"/>
      <c r="K86" s="52"/>
    </row>
    <row r="87" spans="1:11" ht="12.75">
      <c r="A87" s="58" t="s">
        <v>88</v>
      </c>
      <c r="F87" s="87" t="s">
        <v>96</v>
      </c>
      <c r="G87" s="52"/>
      <c r="H87" s="52"/>
      <c r="I87" s="52"/>
      <c r="J87" s="52"/>
      <c r="K87" s="52"/>
    </row>
  </sheetData>
  <sheetProtection/>
  <printOptions/>
  <pageMargins left="0.25" right="0.25" top="0.75" bottom="0.75" header="0.3" footer="0.3"/>
  <pageSetup fitToHeight="2" horizontalDpi="600" verticalDpi="600" orientation="landscape" scale="90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Scott</dc:creator>
  <cp:keywords/>
  <dc:description/>
  <cp:lastModifiedBy>Greg Scott</cp:lastModifiedBy>
  <cp:lastPrinted>2012-04-07T08:33:33Z</cp:lastPrinted>
  <dcterms:created xsi:type="dcterms:W3CDTF">2004-12-18T05:21:15Z</dcterms:created>
  <dcterms:modified xsi:type="dcterms:W3CDTF">2012-04-07T22:23:44Z</dcterms:modified>
  <cp:category/>
  <cp:version/>
  <cp:contentType/>
  <cp:contentStatus/>
</cp:coreProperties>
</file>