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ch\Documents\Quiet Water\Reserve studies\2019\"/>
    </mc:Choice>
  </mc:AlternateContent>
  <xr:revisionPtr revIDLastSave="0" documentId="13_ncr:1_{2FD20453-D0BF-4DA1-8B51-4B2C5D5BCFC3}" xr6:coauthVersionLast="43" xr6:coauthVersionMax="43" xr10:uidLastSave="{00000000-0000-0000-0000-000000000000}"/>
  <bookViews>
    <workbookView xWindow="-108" yWindow="-108" windowWidth="23256" windowHeight="12576" tabRatio="655" xr2:uid="{00000000-000D-0000-FFFF-FFFF00000000}"/>
  </bookViews>
  <sheets>
    <sheet name="Data input" sheetId="1" r:id="rId1"/>
    <sheet name="General" sheetId="2" r:id="rId2"/>
    <sheet name="LCA 1" sheetId="3" r:id="rId3"/>
    <sheet name="LCA 2" sheetId="4" r:id="rId4"/>
    <sheet name="LCA 3 carport" sheetId="6" r:id="rId5"/>
    <sheet name="LCA 3 other" sheetId="7" r:id="rId6"/>
    <sheet name="LCA 4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8" l="1"/>
  <c r="H28" i="8"/>
  <c r="P28" i="8" s="1"/>
  <c r="G18" i="8" l="1"/>
  <c r="G17" i="8"/>
  <c r="G16" i="8"/>
  <c r="G14" i="8"/>
  <c r="G13" i="8"/>
  <c r="G12" i="8"/>
  <c r="G11" i="8"/>
  <c r="G10" i="8"/>
  <c r="G11" i="7"/>
  <c r="G10" i="7"/>
  <c r="G9" i="7"/>
  <c r="G17" i="4" l="1"/>
  <c r="G16" i="4"/>
  <c r="G15" i="4"/>
  <c r="G13" i="4"/>
  <c r="G12" i="4"/>
  <c r="G11" i="4"/>
  <c r="G10" i="4"/>
  <c r="G9" i="4"/>
  <c r="G18" i="3"/>
  <c r="G17" i="3"/>
  <c r="G16" i="3"/>
  <c r="G14" i="3"/>
  <c r="G13" i="3"/>
  <c r="G12" i="3"/>
  <c r="G11" i="3"/>
  <c r="G10" i="3"/>
  <c r="G5" i="2"/>
  <c r="G25" i="2" s="1"/>
  <c r="G19" i="2"/>
  <c r="G18" i="2"/>
  <c r="G17" i="2"/>
  <c r="G16" i="2"/>
  <c r="G15" i="2"/>
  <c r="G14" i="2"/>
  <c r="G12" i="2"/>
  <c r="G11" i="2"/>
  <c r="G10" i="2"/>
  <c r="G21" i="2" l="1"/>
  <c r="G22" i="2"/>
  <c r="G23" i="2"/>
  <c r="G24" i="2"/>
  <c r="G13" i="6"/>
  <c r="G11" i="6"/>
  <c r="G12" i="6"/>
  <c r="G10" i="6"/>
  <c r="G9" i="6"/>
  <c r="D41" i="1" l="1"/>
  <c r="J1" i="8"/>
  <c r="L1" i="8"/>
  <c r="G5" i="8" s="1"/>
  <c r="H23" i="8"/>
  <c r="H16" i="7"/>
  <c r="H18" i="6"/>
  <c r="H22" i="4"/>
  <c r="H23" i="3"/>
  <c r="H30" i="2"/>
  <c r="K9" i="7" l="1"/>
  <c r="L9" i="7"/>
  <c r="J9" i="7"/>
  <c r="I9" i="7"/>
  <c r="J15" i="4"/>
  <c r="K15" i="4"/>
  <c r="L15" i="4"/>
  <c r="I15" i="4"/>
  <c r="H15" i="4"/>
  <c r="J16" i="3"/>
  <c r="K16" i="3"/>
  <c r="L16" i="3"/>
  <c r="I16" i="3"/>
  <c r="L16" i="2" l="1"/>
  <c r="K16" i="2"/>
  <c r="J16" i="2"/>
  <c r="J28" i="4" l="1"/>
  <c r="E17" i="4"/>
  <c r="E16" i="4"/>
  <c r="I16" i="2" l="1"/>
  <c r="E11" i="2" l="1"/>
  <c r="E18" i="8"/>
  <c r="E11" i="7"/>
  <c r="E18" i="3"/>
  <c r="E17" i="8" l="1"/>
  <c r="E10" i="7"/>
  <c r="E17" i="3"/>
  <c r="E16" i="8" l="1"/>
  <c r="C10" i="2" l="1"/>
  <c r="E10" i="2" s="1"/>
  <c r="C9" i="2"/>
  <c r="E9" i="2" s="1"/>
  <c r="E18" i="2"/>
  <c r="L18" i="2" s="1"/>
  <c r="C12" i="2"/>
  <c r="E12" i="2" s="1"/>
  <c r="H18" i="2" l="1"/>
  <c r="I18" i="2"/>
  <c r="K18" i="2"/>
  <c r="J18" i="2"/>
  <c r="D30" i="1"/>
  <c r="I23" i="8" l="1"/>
  <c r="H28" i="3"/>
  <c r="P29" i="3" s="1"/>
  <c r="I23" i="3" s="1"/>
  <c r="J14" i="8"/>
  <c r="K14" i="8"/>
  <c r="L14" i="8"/>
  <c r="I14" i="8"/>
  <c r="E13" i="8"/>
  <c r="E12" i="8"/>
  <c r="E11" i="8"/>
  <c r="E10" i="8"/>
  <c r="L18" i="8"/>
  <c r="K18" i="8"/>
  <c r="J18" i="8"/>
  <c r="I18" i="8"/>
  <c r="H18" i="8"/>
  <c r="L17" i="8"/>
  <c r="K17" i="8"/>
  <c r="J17" i="8"/>
  <c r="I17" i="8"/>
  <c r="H17" i="8"/>
  <c r="L16" i="8"/>
  <c r="K16" i="8"/>
  <c r="J16" i="8"/>
  <c r="I16" i="8"/>
  <c r="H16" i="8"/>
  <c r="M4" i="8"/>
  <c r="M18" i="8" s="1"/>
  <c r="J12" i="8" l="1"/>
  <c r="K12" i="8"/>
  <c r="I12" i="8"/>
  <c r="L12" i="8"/>
  <c r="M12" i="8"/>
  <c r="J23" i="3"/>
  <c r="K13" i="8"/>
  <c r="M14" i="8"/>
  <c r="H11" i="8"/>
  <c r="M10" i="8"/>
  <c r="I5" i="8"/>
  <c r="J5" i="8" s="1"/>
  <c r="K5" i="8" s="1"/>
  <c r="L5" i="8" s="1"/>
  <c r="M5" i="8" s="1"/>
  <c r="N5" i="8" s="1"/>
  <c r="O5" i="8" s="1"/>
  <c r="P5" i="8" s="1"/>
  <c r="Q5" i="8" s="1"/>
  <c r="R5" i="8" s="1"/>
  <c r="N4" i="8"/>
  <c r="N14" i="8" s="1"/>
  <c r="M16" i="8"/>
  <c r="M17" i="8"/>
  <c r="N12" i="8" l="1"/>
  <c r="J23" i="8"/>
  <c r="K23" i="3"/>
  <c r="I13" i="8"/>
  <c r="L13" i="8"/>
  <c r="M13" i="8"/>
  <c r="J13" i="8"/>
  <c r="H13" i="8"/>
  <c r="I11" i="8"/>
  <c r="L11" i="8"/>
  <c r="J10" i="8"/>
  <c r="H12" i="8"/>
  <c r="K11" i="8"/>
  <c r="L10" i="8"/>
  <c r="H10" i="8"/>
  <c r="M11" i="8"/>
  <c r="N13" i="8"/>
  <c r="N10" i="8"/>
  <c r="J11" i="8"/>
  <c r="N11" i="8"/>
  <c r="K10" i="8"/>
  <c r="I10" i="8"/>
  <c r="N18" i="8"/>
  <c r="N17" i="8"/>
  <c r="N16" i="8"/>
  <c r="O4" i="8"/>
  <c r="O12" i="8" s="1"/>
  <c r="K23" i="8" l="1"/>
  <c r="L23" i="3"/>
  <c r="L20" i="8"/>
  <c r="K20" i="8"/>
  <c r="M20" i="8"/>
  <c r="J20" i="8"/>
  <c r="J24" i="8" s="1"/>
  <c r="I20" i="8"/>
  <c r="I26" i="8" s="1"/>
  <c r="H21" i="8"/>
  <c r="H26" i="8" s="1"/>
  <c r="H20" i="8"/>
  <c r="H24" i="8" s="1"/>
  <c r="N20" i="8"/>
  <c r="O14" i="8"/>
  <c r="O13" i="8"/>
  <c r="O11" i="8"/>
  <c r="O10" i="8"/>
  <c r="O18" i="8"/>
  <c r="O17" i="8"/>
  <c r="O16" i="8"/>
  <c r="P4" i="8"/>
  <c r="P12" i="8" s="1"/>
  <c r="J26" i="8" l="1"/>
  <c r="L23" i="8"/>
  <c r="K26" i="8"/>
  <c r="M23" i="3"/>
  <c r="N21" i="8"/>
  <c r="M21" i="8"/>
  <c r="K21" i="8"/>
  <c r="K24" i="8"/>
  <c r="K25" i="8" s="1"/>
  <c r="J21" i="8"/>
  <c r="I21" i="8"/>
  <c r="I24" i="8"/>
  <c r="I25" i="8" s="1"/>
  <c r="L21" i="8"/>
  <c r="H25" i="8"/>
  <c r="J25" i="8"/>
  <c r="P14" i="8"/>
  <c r="P10" i="8"/>
  <c r="P13" i="8"/>
  <c r="P11" i="8"/>
  <c r="P18" i="8"/>
  <c r="P17" i="8"/>
  <c r="P16" i="8"/>
  <c r="Q4" i="8"/>
  <c r="Q12" i="8" s="1"/>
  <c r="O20" i="8"/>
  <c r="M23" i="8" l="1"/>
  <c r="L26" i="8"/>
  <c r="L24" i="8"/>
  <c r="L25" i="8" s="1"/>
  <c r="N23" i="3"/>
  <c r="O21" i="8"/>
  <c r="P20" i="8"/>
  <c r="Q14" i="8"/>
  <c r="Q11" i="8"/>
  <c r="Q13" i="8"/>
  <c r="Q10" i="8"/>
  <c r="Q18" i="8"/>
  <c r="Q17" i="8"/>
  <c r="Q16" i="8"/>
  <c r="R4" i="8"/>
  <c r="R12" i="8" s="1"/>
  <c r="N23" i="8" l="1"/>
  <c r="M26" i="8"/>
  <c r="M24" i="8"/>
  <c r="M25" i="8" s="1"/>
  <c r="O23" i="3"/>
  <c r="P21" i="8"/>
  <c r="Q20" i="8"/>
  <c r="R14" i="8"/>
  <c r="R13" i="8"/>
  <c r="R11" i="8"/>
  <c r="R10" i="8"/>
  <c r="R18" i="8"/>
  <c r="R17" i="8"/>
  <c r="R16" i="8"/>
  <c r="O23" i="8" l="1"/>
  <c r="N26" i="8"/>
  <c r="N24" i="8"/>
  <c r="N25" i="8" s="1"/>
  <c r="P23" i="3"/>
  <c r="Q21" i="8"/>
  <c r="R20" i="8"/>
  <c r="P23" i="8" l="1"/>
  <c r="O26" i="8"/>
  <c r="O24" i="8"/>
  <c r="O25" i="8" s="1"/>
  <c r="Q23" i="3"/>
  <c r="R21" i="8"/>
  <c r="Q23" i="8" l="1"/>
  <c r="P26" i="8"/>
  <c r="P24" i="8"/>
  <c r="P25" i="8" s="1"/>
  <c r="R23" i="3"/>
  <c r="R23" i="8" l="1"/>
  <c r="Q26" i="8"/>
  <c r="Q24" i="8"/>
  <c r="Q25" i="8" s="1"/>
  <c r="R26" i="8" l="1"/>
  <c r="R24" i="8"/>
  <c r="R25" i="8" s="1"/>
  <c r="I23" i="7"/>
  <c r="O23" i="7" s="1"/>
  <c r="I16" i="7" s="1"/>
  <c r="I5" i="7"/>
  <c r="J5" i="7" s="1"/>
  <c r="K5" i="7" s="1"/>
  <c r="L5" i="7" s="1"/>
  <c r="M5" i="7" s="1"/>
  <c r="N5" i="7" s="1"/>
  <c r="O5" i="7" s="1"/>
  <c r="P5" i="7" s="1"/>
  <c r="Q5" i="7" s="1"/>
  <c r="R5" i="7" s="1"/>
  <c r="M1" i="7"/>
  <c r="G5" i="7" s="1"/>
  <c r="K1" i="7"/>
  <c r="M4" i="7"/>
  <c r="M9" i="7" s="1"/>
  <c r="J16" i="7" l="1"/>
  <c r="K16" i="7" s="1"/>
  <c r="L16" i="7" s="1"/>
  <c r="M16" i="7" s="1"/>
  <c r="N16" i="7" s="1"/>
  <c r="O16" i="7" s="1"/>
  <c r="P16" i="7" s="1"/>
  <c r="Q16" i="7" s="1"/>
  <c r="R16" i="7" s="1"/>
  <c r="H9" i="7"/>
  <c r="I11" i="7"/>
  <c r="I10" i="7"/>
  <c r="K11" i="7"/>
  <c r="N4" i="7"/>
  <c r="N9" i="7" s="1"/>
  <c r="J11" i="7"/>
  <c r="N11" i="7" l="1"/>
  <c r="H10" i="7"/>
  <c r="L10" i="7"/>
  <c r="K10" i="7"/>
  <c r="N10" i="7"/>
  <c r="N13" i="7" s="1"/>
  <c r="N14" i="7" s="1"/>
  <c r="J10" i="7"/>
  <c r="J13" i="7" s="1"/>
  <c r="J19" i="7" s="1"/>
  <c r="M10" i="7"/>
  <c r="L11" i="7"/>
  <c r="H11" i="7"/>
  <c r="M11" i="7"/>
  <c r="I13" i="7"/>
  <c r="I19" i="7" s="1"/>
  <c r="K13" i="7"/>
  <c r="K19" i="7" s="1"/>
  <c r="O4" i="7"/>
  <c r="O9" i="7" s="1"/>
  <c r="H13" i="7" l="1"/>
  <c r="H14" i="7" s="1"/>
  <c r="M13" i="7"/>
  <c r="M14" i="7" s="1"/>
  <c r="L13" i="7"/>
  <c r="L14" i="7" s="1"/>
  <c r="K17" i="7"/>
  <c r="K18" i="7" s="1"/>
  <c r="K14" i="7"/>
  <c r="I17" i="7"/>
  <c r="I18" i="7" s="1"/>
  <c r="I14" i="7"/>
  <c r="J17" i="7"/>
  <c r="J18" i="7" s="1"/>
  <c r="J14" i="7"/>
  <c r="P4" i="7"/>
  <c r="P9" i="7" s="1"/>
  <c r="O11" i="7"/>
  <c r="O10" i="7"/>
  <c r="H17" i="7" l="1"/>
  <c r="H18" i="7" s="1"/>
  <c r="H19" i="7"/>
  <c r="L17" i="7"/>
  <c r="L18" i="7" s="1"/>
  <c r="L19" i="7"/>
  <c r="O13" i="7"/>
  <c r="O14" i="7" s="1"/>
  <c r="Q4" i="7"/>
  <c r="Q9" i="7" s="1"/>
  <c r="P11" i="7"/>
  <c r="P10" i="7"/>
  <c r="M19" i="7"/>
  <c r="M17" i="7"/>
  <c r="M18" i="7" s="1"/>
  <c r="P13" i="7" l="1"/>
  <c r="P14" i="7" s="1"/>
  <c r="R4" i="7"/>
  <c r="R9" i="7" s="1"/>
  <c r="Q10" i="7"/>
  <c r="Q11" i="7"/>
  <c r="N19" i="7"/>
  <c r="N17" i="7"/>
  <c r="N18" i="7" s="1"/>
  <c r="Q13" i="7" l="1"/>
  <c r="Q14" i="7" s="1"/>
  <c r="O19" i="7"/>
  <c r="O17" i="7"/>
  <c r="O18" i="7" s="1"/>
  <c r="R10" i="7"/>
  <c r="R11" i="7"/>
  <c r="R13" i="7" l="1"/>
  <c r="R14" i="7" s="1"/>
  <c r="P19" i="7"/>
  <c r="P17" i="7"/>
  <c r="P18" i="7" s="1"/>
  <c r="Q19" i="7" l="1"/>
  <c r="Q17" i="7"/>
  <c r="Q18" i="7" s="1"/>
  <c r="R19" i="7" l="1"/>
  <c r="R17" i="7"/>
  <c r="R18" i="7" s="1"/>
  <c r="H26" i="6" l="1"/>
  <c r="N26" i="6" s="1"/>
  <c r="I18" i="6" s="1"/>
  <c r="D39" i="2"/>
  <c r="E12" i="6"/>
  <c r="E11" i="6"/>
  <c r="E10" i="6"/>
  <c r="E9" i="6"/>
  <c r="M1" i="6"/>
  <c r="G5" i="6" s="1"/>
  <c r="K1" i="6"/>
  <c r="M4" i="6"/>
  <c r="L11" i="6" l="1"/>
  <c r="K11" i="6"/>
  <c r="M11" i="6"/>
  <c r="J11" i="6"/>
  <c r="I11" i="6"/>
  <c r="J18" i="6"/>
  <c r="K18" i="6" s="1"/>
  <c r="L18" i="6" s="1"/>
  <c r="M18" i="6" s="1"/>
  <c r="N18" i="6" s="1"/>
  <c r="O18" i="6" s="1"/>
  <c r="P18" i="6" s="1"/>
  <c r="Q18" i="6" s="1"/>
  <c r="R18" i="6" s="1"/>
  <c r="I5" i="6"/>
  <c r="J5" i="6" s="1"/>
  <c r="K5" i="6" s="1"/>
  <c r="L5" i="6" s="1"/>
  <c r="M5" i="6" s="1"/>
  <c r="N5" i="6" s="1"/>
  <c r="O5" i="6" s="1"/>
  <c r="P5" i="6" s="1"/>
  <c r="Q5" i="6" s="1"/>
  <c r="R5" i="6" s="1"/>
  <c r="J9" i="6"/>
  <c r="J13" i="6"/>
  <c r="H9" i="6"/>
  <c r="H11" i="6"/>
  <c r="I9" i="6"/>
  <c r="I13" i="6"/>
  <c r="M9" i="6"/>
  <c r="M10" i="6"/>
  <c r="M12" i="6"/>
  <c r="N4" i="6"/>
  <c r="N11" i="6" s="1"/>
  <c r="I12" i="6" l="1"/>
  <c r="H12" i="6"/>
  <c r="I10" i="6"/>
  <c r="H10" i="6"/>
  <c r="L9" i="6"/>
  <c r="N9" i="6"/>
  <c r="K9" i="6"/>
  <c r="K13" i="6"/>
  <c r="L13" i="6"/>
  <c r="M13" i="6"/>
  <c r="M15" i="6" s="1"/>
  <c r="H13" i="6"/>
  <c r="J10" i="6"/>
  <c r="L10" i="6"/>
  <c r="N10" i="6"/>
  <c r="K10" i="6"/>
  <c r="N13" i="6"/>
  <c r="J12" i="6"/>
  <c r="L12" i="6"/>
  <c r="N12" i="6"/>
  <c r="K12" i="6"/>
  <c r="O4" i="6"/>
  <c r="O11" i="6" s="1"/>
  <c r="J15" i="6" l="1"/>
  <c r="J16" i="6" s="1"/>
  <c r="I15" i="6"/>
  <c r="I21" i="6" s="1"/>
  <c r="H15" i="6"/>
  <c r="H16" i="6" s="1"/>
  <c r="N15" i="6"/>
  <c r="N16" i="6" s="1"/>
  <c r="K15" i="6"/>
  <c r="K16" i="6" s="1"/>
  <c r="L15" i="6"/>
  <c r="L16" i="6" s="1"/>
  <c r="M16" i="6"/>
  <c r="O9" i="6"/>
  <c r="O13" i="6"/>
  <c r="O12" i="6"/>
  <c r="O10" i="6"/>
  <c r="P4" i="6"/>
  <c r="P11" i="6" s="1"/>
  <c r="I16" i="6" l="1"/>
  <c r="I19" i="6"/>
  <c r="I20" i="6" s="1"/>
  <c r="O15" i="6"/>
  <c r="O16" i="6" s="1"/>
  <c r="H19" i="6"/>
  <c r="H20" i="6" s="1"/>
  <c r="J21" i="6"/>
  <c r="J19" i="6"/>
  <c r="J20" i="6" s="1"/>
  <c r="H21" i="6"/>
  <c r="K21" i="6"/>
  <c r="K19" i="6"/>
  <c r="K20" i="6" s="1"/>
  <c r="P9" i="6"/>
  <c r="P13" i="6"/>
  <c r="P10" i="6"/>
  <c r="P12" i="6"/>
  <c r="L21" i="6"/>
  <c r="L19" i="6"/>
  <c r="L20" i="6" s="1"/>
  <c r="Q4" i="6"/>
  <c r="Q11" i="6" s="1"/>
  <c r="P15" i="6" l="1"/>
  <c r="P16" i="6" s="1"/>
  <c r="Q9" i="6"/>
  <c r="Q13" i="6"/>
  <c r="Q12" i="6"/>
  <c r="Q10" i="6"/>
  <c r="R4" i="6"/>
  <c r="R11" i="6" s="1"/>
  <c r="M21" i="6"/>
  <c r="M19" i="6"/>
  <c r="M20" i="6" s="1"/>
  <c r="Q15" i="6" l="1"/>
  <c r="Q16" i="6" s="1"/>
  <c r="R9" i="6"/>
  <c r="R13" i="6"/>
  <c r="R12" i="6"/>
  <c r="R10" i="6"/>
  <c r="N21" i="6"/>
  <c r="N19" i="6"/>
  <c r="N20" i="6" s="1"/>
  <c r="R15" i="6" l="1"/>
  <c r="O21" i="6"/>
  <c r="O19" i="6"/>
  <c r="O20" i="6" s="1"/>
  <c r="R16" i="6" l="1"/>
  <c r="R21" i="6"/>
  <c r="P21" i="6"/>
  <c r="P19" i="6"/>
  <c r="P20" i="6" s="1"/>
  <c r="Q21" i="6" l="1"/>
  <c r="Q19" i="6"/>
  <c r="Q20" i="6" s="1"/>
  <c r="R19" i="6" l="1"/>
  <c r="R20" i="6" s="1"/>
  <c r="N1" i="4" l="1"/>
  <c r="G5" i="4" s="1"/>
  <c r="L1" i="4"/>
  <c r="E12" i="4"/>
  <c r="E11" i="4"/>
  <c r="E10" i="4"/>
  <c r="E9" i="4"/>
  <c r="P28" i="4"/>
  <c r="I22" i="4" s="1"/>
  <c r="L1" i="3"/>
  <c r="G5" i="3" s="1"/>
  <c r="J1" i="3"/>
  <c r="K1" i="2"/>
  <c r="M1" i="2"/>
  <c r="M4" i="4"/>
  <c r="M15" i="4" s="1"/>
  <c r="J11" i="4" l="1"/>
  <c r="M11" i="4"/>
  <c r="K11" i="4"/>
  <c r="I11" i="4"/>
  <c r="L11" i="4"/>
  <c r="J22" i="4"/>
  <c r="K22" i="4" s="1"/>
  <c r="L22" i="4" s="1"/>
  <c r="M22" i="4" s="1"/>
  <c r="N22" i="4" s="1"/>
  <c r="O22" i="4" s="1"/>
  <c r="P22" i="4" s="1"/>
  <c r="Q22" i="4" s="1"/>
  <c r="R22" i="4" s="1"/>
  <c r="I13" i="4"/>
  <c r="I5" i="4"/>
  <c r="J5" i="4" s="1"/>
  <c r="K5" i="4" s="1"/>
  <c r="L5" i="4" s="1"/>
  <c r="M5" i="4" s="1"/>
  <c r="N5" i="4" s="1"/>
  <c r="O5" i="4" s="1"/>
  <c r="P5" i="4" s="1"/>
  <c r="Q5" i="4" s="1"/>
  <c r="R5" i="4" s="1"/>
  <c r="H12" i="4"/>
  <c r="K10" i="4"/>
  <c r="N4" i="4"/>
  <c r="N15" i="4" s="1"/>
  <c r="K9" i="4"/>
  <c r="N11" i="4" l="1"/>
  <c r="O4" i="4"/>
  <c r="O11" i="4" s="1"/>
  <c r="K13" i="4"/>
  <c r="J13" i="4"/>
  <c r="L13" i="4"/>
  <c r="K17" i="4"/>
  <c r="M17" i="4"/>
  <c r="O17" i="4"/>
  <c r="I17" i="4"/>
  <c r="N17" i="4"/>
  <c r="J17" i="4"/>
  <c r="H17" i="4"/>
  <c r="L17" i="4"/>
  <c r="I16" i="4"/>
  <c r="L16" i="4"/>
  <c r="J16" i="4"/>
  <c r="O16" i="4"/>
  <c r="K16" i="4"/>
  <c r="N16" i="4"/>
  <c r="H16" i="4"/>
  <c r="M16" i="4"/>
  <c r="H13" i="4"/>
  <c r="M13" i="4"/>
  <c r="N10" i="4"/>
  <c r="H10" i="4"/>
  <c r="H9" i="4"/>
  <c r="M10" i="4"/>
  <c r="J10" i="4"/>
  <c r="L9" i="4"/>
  <c r="H11" i="4"/>
  <c r="I12" i="4"/>
  <c r="L12" i="4"/>
  <c r="M12" i="4"/>
  <c r="I10" i="4"/>
  <c r="J12" i="4"/>
  <c r="N12" i="4"/>
  <c r="L10" i="4"/>
  <c r="K12" i="4"/>
  <c r="O9" i="4"/>
  <c r="O12" i="4"/>
  <c r="M9" i="4"/>
  <c r="I9" i="4"/>
  <c r="J9" i="4"/>
  <c r="N9" i="4"/>
  <c r="O10" i="4"/>
  <c r="N13" i="4"/>
  <c r="P4" i="4"/>
  <c r="P16" i="4" l="1"/>
  <c r="P11" i="4"/>
  <c r="P17" i="4"/>
  <c r="O13" i="4"/>
  <c r="O19" i="4" s="1"/>
  <c r="O20" i="4" s="1"/>
  <c r="O15" i="4"/>
  <c r="P15" i="4"/>
  <c r="K19" i="4"/>
  <c r="K20" i="4" s="1"/>
  <c r="J19" i="4"/>
  <c r="J20" i="4" s="1"/>
  <c r="M19" i="4"/>
  <c r="M20" i="4" s="1"/>
  <c r="L19" i="4"/>
  <c r="L20" i="4" s="1"/>
  <c r="N19" i="4"/>
  <c r="N20" i="4" s="1"/>
  <c r="I19" i="4"/>
  <c r="I20" i="4" s="1"/>
  <c r="H19" i="4"/>
  <c r="H23" i="4" s="1"/>
  <c r="H24" i="4" s="1"/>
  <c r="P13" i="4"/>
  <c r="P9" i="4"/>
  <c r="P10" i="4"/>
  <c r="P12" i="4"/>
  <c r="Q4" i="4"/>
  <c r="Q11" i="4" s="1"/>
  <c r="Q15" i="4" l="1"/>
  <c r="Q17" i="4"/>
  <c r="Q16" i="4"/>
  <c r="J25" i="4"/>
  <c r="H25" i="4"/>
  <c r="P19" i="4"/>
  <c r="P20" i="4" s="1"/>
  <c r="I25" i="4"/>
  <c r="H20" i="4"/>
  <c r="K25" i="4"/>
  <c r="J23" i="4"/>
  <c r="J24" i="4" s="1"/>
  <c r="K23" i="4"/>
  <c r="K24" i="4" s="1"/>
  <c r="I23" i="4"/>
  <c r="I24" i="4" s="1"/>
  <c r="Q10" i="4"/>
  <c r="Q13" i="4"/>
  <c r="Q12" i="4"/>
  <c r="Q9" i="4"/>
  <c r="R4" i="4"/>
  <c r="R11" i="4" s="1"/>
  <c r="L25" i="4"/>
  <c r="L23" i="4"/>
  <c r="L24" i="4" s="1"/>
  <c r="R15" i="4" l="1"/>
  <c r="R17" i="4"/>
  <c r="R16" i="4"/>
  <c r="Q19" i="4"/>
  <c r="Q20" i="4" s="1"/>
  <c r="R13" i="4"/>
  <c r="R10" i="4"/>
  <c r="R12" i="4"/>
  <c r="R9" i="4"/>
  <c r="M25" i="4"/>
  <c r="M23" i="4"/>
  <c r="M24" i="4" s="1"/>
  <c r="R19" i="4" l="1"/>
  <c r="R20" i="4" s="1"/>
  <c r="N25" i="4"/>
  <c r="N23" i="4"/>
  <c r="N24" i="4" s="1"/>
  <c r="O25" i="4" l="1"/>
  <c r="O23" i="4"/>
  <c r="O24" i="4" s="1"/>
  <c r="P25" i="4" l="1"/>
  <c r="P23" i="4"/>
  <c r="P24" i="4" s="1"/>
  <c r="Q25" i="4" l="1"/>
  <c r="Q23" i="4"/>
  <c r="Q24" i="4" s="1"/>
  <c r="R25" i="4" l="1"/>
  <c r="R23" i="4"/>
  <c r="R24" i="4" s="1"/>
  <c r="E13" i="3" l="1"/>
  <c r="E12" i="3"/>
  <c r="E11" i="3"/>
  <c r="E10" i="3"/>
  <c r="D35" i="2"/>
  <c r="O39" i="2" s="1"/>
  <c r="I39" i="2"/>
  <c r="M4" i="3"/>
  <c r="M16" i="3" s="1"/>
  <c r="L12" i="3" l="1"/>
  <c r="M12" i="3"/>
  <c r="J12" i="3"/>
  <c r="K12" i="3"/>
  <c r="I12" i="3"/>
  <c r="I5" i="3"/>
  <c r="J5" i="3" s="1"/>
  <c r="K5" i="3" s="1"/>
  <c r="L5" i="3" s="1"/>
  <c r="M5" i="3" s="1"/>
  <c r="N5" i="3" s="1"/>
  <c r="O5" i="3" s="1"/>
  <c r="P5" i="3" s="1"/>
  <c r="Q5" i="3" s="1"/>
  <c r="R5" i="3" s="1"/>
  <c r="I10" i="3"/>
  <c r="L14" i="3"/>
  <c r="H17" i="3"/>
  <c r="K11" i="3"/>
  <c r="K13" i="3"/>
  <c r="H16" i="3"/>
  <c r="K10" i="3"/>
  <c r="H18" i="3"/>
  <c r="J18" i="3"/>
  <c r="L18" i="3"/>
  <c r="N4" i="3"/>
  <c r="N16" i="3" s="1"/>
  <c r="I18" i="3"/>
  <c r="K18" i="3"/>
  <c r="M18" i="3"/>
  <c r="N12" i="3" l="1"/>
  <c r="L11" i="3"/>
  <c r="K14" i="3"/>
  <c r="J10" i="3"/>
  <c r="H11" i="3"/>
  <c r="I17" i="3"/>
  <c r="H13" i="3"/>
  <c r="H12" i="3"/>
  <c r="J11" i="3"/>
  <c r="L10" i="3"/>
  <c r="N10" i="3"/>
  <c r="I11" i="3"/>
  <c r="H10" i="3"/>
  <c r="M17" i="3"/>
  <c r="L13" i="3"/>
  <c r="J17" i="3"/>
  <c r="K17" i="3"/>
  <c r="M14" i="3"/>
  <c r="J13" i="3"/>
  <c r="I13" i="3"/>
  <c r="M13" i="3"/>
  <c r="H14" i="3"/>
  <c r="L17" i="3"/>
  <c r="J14" i="3"/>
  <c r="I14" i="3"/>
  <c r="M11" i="3"/>
  <c r="M10" i="3"/>
  <c r="N14" i="3"/>
  <c r="O4" i="3"/>
  <c r="O12" i="3" s="1"/>
  <c r="N13" i="3"/>
  <c r="N11" i="3"/>
  <c r="N18" i="3"/>
  <c r="N17" i="3"/>
  <c r="K20" i="3" l="1"/>
  <c r="K26" i="3" s="1"/>
  <c r="O16" i="3"/>
  <c r="H20" i="3"/>
  <c r="H24" i="3" s="1"/>
  <c r="H21" i="3"/>
  <c r="H26" i="3" s="1"/>
  <c r="L20" i="3"/>
  <c r="L26" i="3" s="1"/>
  <c r="J20" i="3"/>
  <c r="J26" i="3" s="1"/>
  <c r="I20" i="3"/>
  <c r="I26" i="3" s="1"/>
  <c r="M20" i="3"/>
  <c r="M26" i="3" s="1"/>
  <c r="N20" i="3"/>
  <c r="N26" i="3" s="1"/>
  <c r="O14" i="3"/>
  <c r="P4" i="3"/>
  <c r="P12" i="3" s="1"/>
  <c r="O11" i="3"/>
  <c r="O13" i="3"/>
  <c r="O10" i="3"/>
  <c r="O17" i="3"/>
  <c r="O18" i="3"/>
  <c r="K24" i="3" l="1"/>
  <c r="K25" i="3" s="1"/>
  <c r="K21" i="3"/>
  <c r="N21" i="3"/>
  <c r="N24" i="3"/>
  <c r="L21" i="3"/>
  <c r="L24" i="3"/>
  <c r="L25" i="3" s="1"/>
  <c r="J21" i="3"/>
  <c r="J24" i="3"/>
  <c r="M21" i="3"/>
  <c r="M24" i="3"/>
  <c r="I21" i="3"/>
  <c r="I24" i="3"/>
  <c r="P16" i="3"/>
  <c r="H25" i="3"/>
  <c r="P14" i="3"/>
  <c r="Q4" i="3"/>
  <c r="Q12" i="3" s="1"/>
  <c r="P18" i="3"/>
  <c r="P11" i="3"/>
  <c r="P13" i="3"/>
  <c r="P10" i="3"/>
  <c r="P17" i="3"/>
  <c r="O20" i="3"/>
  <c r="O26" i="3" s="1"/>
  <c r="I25" i="3" l="1"/>
  <c r="J25" i="3"/>
  <c r="O21" i="3"/>
  <c r="O24" i="3"/>
  <c r="Q16" i="3"/>
  <c r="P20" i="3"/>
  <c r="P26" i="3" s="1"/>
  <c r="Q14" i="3"/>
  <c r="R4" i="3"/>
  <c r="R12" i="3" s="1"/>
  <c r="Q10" i="3"/>
  <c r="Q18" i="3"/>
  <c r="Q17" i="3"/>
  <c r="Q11" i="3"/>
  <c r="Q13" i="3"/>
  <c r="M25" i="3"/>
  <c r="P21" i="3" l="1"/>
  <c r="P24" i="3"/>
  <c r="R16" i="3"/>
  <c r="R14" i="3"/>
  <c r="R13" i="3"/>
  <c r="R10" i="3"/>
  <c r="R11" i="3"/>
  <c r="R17" i="3"/>
  <c r="R18" i="3"/>
  <c r="Q20" i="3"/>
  <c r="Q26" i="3" s="1"/>
  <c r="N25" i="3"/>
  <c r="Q21" i="3" l="1"/>
  <c r="Q24" i="3"/>
  <c r="R20" i="3"/>
  <c r="R26" i="3" s="1"/>
  <c r="O25" i="3"/>
  <c r="R21" i="3" l="1"/>
  <c r="R24" i="3"/>
  <c r="P25" i="3"/>
  <c r="Q25" i="3" l="1"/>
  <c r="R25" i="3" l="1"/>
  <c r="E23" i="2" l="1"/>
  <c r="E22" i="2"/>
  <c r="E21" i="2"/>
  <c r="E17" i="2"/>
  <c r="E15" i="2"/>
  <c r="E14" i="2"/>
  <c r="M4" i="2"/>
  <c r="M16" i="2" l="1"/>
  <c r="M18" i="2"/>
  <c r="J23" i="2"/>
  <c r="K23" i="2"/>
  <c r="M23" i="2"/>
  <c r="L23" i="2"/>
  <c r="M10" i="2"/>
  <c r="I23" i="2"/>
  <c r="I5" i="2"/>
  <c r="J5" i="2" s="1"/>
  <c r="K5" i="2" s="1"/>
  <c r="L5" i="2" s="1"/>
  <c r="M5" i="2" s="1"/>
  <c r="N5" i="2" s="1"/>
  <c r="O5" i="2" s="1"/>
  <c r="P5" i="2" s="1"/>
  <c r="Q5" i="2" s="1"/>
  <c r="R5" i="2" s="1"/>
  <c r="M24" i="2"/>
  <c r="H23" i="2"/>
  <c r="K17" i="2"/>
  <c r="I15" i="2"/>
  <c r="M12" i="2"/>
  <c r="H22" i="2"/>
  <c r="H21" i="2"/>
  <c r="I14" i="2"/>
  <c r="M9" i="2"/>
  <c r="N4" i="2"/>
  <c r="N23" i="2" s="1"/>
  <c r="N11" i="2" l="1"/>
  <c r="N25" i="2"/>
  <c r="O4" i="2"/>
  <c r="N10" i="2"/>
  <c r="N16" i="2"/>
  <c r="N18" i="2"/>
  <c r="J22" i="2"/>
  <c r="N19" i="2"/>
  <c r="H19" i="2"/>
  <c r="L17" i="2"/>
  <c r="N12" i="2"/>
  <c r="M11" i="2"/>
  <c r="K22" i="2"/>
  <c r="N15" i="2"/>
  <c r="O22" i="2"/>
  <c r="J15" i="2"/>
  <c r="K15" i="2"/>
  <c r="O15" i="2"/>
  <c r="N24" i="2"/>
  <c r="M21" i="2"/>
  <c r="H17" i="2"/>
  <c r="I21" i="2"/>
  <c r="O21" i="2"/>
  <c r="K21" i="2"/>
  <c r="N17" i="2"/>
  <c r="J17" i="2"/>
  <c r="L14" i="2"/>
  <c r="M22" i="2"/>
  <c r="I22" i="2"/>
  <c r="H16" i="2"/>
  <c r="L15" i="2"/>
  <c r="H15" i="2"/>
  <c r="N22" i="2"/>
  <c r="J21" i="2"/>
  <c r="H14" i="2"/>
  <c r="I17" i="2"/>
  <c r="N14" i="2"/>
  <c r="J14" i="2"/>
  <c r="N21" i="2"/>
  <c r="M17" i="2"/>
  <c r="K14" i="2"/>
  <c r="L21" i="2"/>
  <c r="O14" i="2"/>
  <c r="N9" i="2"/>
  <c r="M25" i="2"/>
  <c r="M14" i="2"/>
  <c r="M19" i="2"/>
  <c r="L22" i="2"/>
  <c r="M15" i="2"/>
  <c r="J9" i="2"/>
  <c r="K9" i="2"/>
  <c r="I9" i="2"/>
  <c r="L9" i="2"/>
  <c r="H9" i="2"/>
  <c r="J25" i="2"/>
  <c r="K25" i="2"/>
  <c r="I25" i="2"/>
  <c r="L25" i="2"/>
  <c r="H25" i="2"/>
  <c r="I12" i="2"/>
  <c r="L12" i="2"/>
  <c r="J12" i="2"/>
  <c r="H12" i="2"/>
  <c r="K12" i="2"/>
  <c r="H11" i="2"/>
  <c r="K11" i="2"/>
  <c r="I11" i="2"/>
  <c r="L11" i="2"/>
  <c r="J11" i="2"/>
  <c r="I10" i="2"/>
  <c r="L10" i="2"/>
  <c r="J10" i="2"/>
  <c r="H10" i="2"/>
  <c r="K10" i="2"/>
  <c r="K19" i="2"/>
  <c r="I19" i="2"/>
  <c r="L19" i="2"/>
  <c r="J19" i="2"/>
  <c r="L24" i="2"/>
  <c r="J24" i="2"/>
  <c r="H24" i="2"/>
  <c r="K24" i="2"/>
  <c r="I24" i="2"/>
  <c r="O17" i="2"/>
  <c r="O25" i="2"/>
  <c r="O19" i="2"/>
  <c r="O24" i="2"/>
  <c r="O12" i="2"/>
  <c r="O10" i="2"/>
  <c r="O11" i="2"/>
  <c r="O9" i="2"/>
  <c r="P4" i="2"/>
  <c r="H27" i="2" l="1"/>
  <c r="P16" i="2"/>
  <c r="P18" i="2"/>
  <c r="P23" i="2"/>
  <c r="O16" i="2"/>
  <c r="O18" i="2"/>
  <c r="O23" i="2"/>
  <c r="M28" i="2"/>
  <c r="N27" i="2"/>
  <c r="M27" i="2"/>
  <c r="I27" i="2"/>
  <c r="N28" i="2"/>
  <c r="L27" i="2"/>
  <c r="J27" i="2"/>
  <c r="K27" i="2"/>
  <c r="H28" i="2"/>
  <c r="H31" i="2" s="1"/>
  <c r="H32" i="2" s="1"/>
  <c r="L28" i="2"/>
  <c r="K28" i="2"/>
  <c r="I28" i="2"/>
  <c r="J28" i="2"/>
  <c r="P24" i="2"/>
  <c r="P12" i="2"/>
  <c r="P25" i="2"/>
  <c r="P19" i="2"/>
  <c r="P11" i="2"/>
  <c r="P9" i="2"/>
  <c r="Q4" i="2"/>
  <c r="P10" i="2"/>
  <c r="P21" i="2"/>
  <c r="P22" i="2"/>
  <c r="P14" i="2"/>
  <c r="P15" i="2"/>
  <c r="P17" i="2"/>
  <c r="O28" i="2" l="1"/>
  <c r="Q16" i="2"/>
  <c r="Q18" i="2"/>
  <c r="Q23" i="2"/>
  <c r="O27" i="2"/>
  <c r="H33" i="2"/>
  <c r="P28" i="2"/>
  <c r="Q25" i="2"/>
  <c r="Q19" i="2"/>
  <c r="Q24" i="2"/>
  <c r="Q12" i="2"/>
  <c r="Q10" i="2"/>
  <c r="Q11" i="2"/>
  <c r="Q9" i="2"/>
  <c r="R4" i="2"/>
  <c r="Q15" i="2"/>
  <c r="Q17" i="2"/>
  <c r="Q22" i="2"/>
  <c r="Q21" i="2"/>
  <c r="Q14" i="2"/>
  <c r="P27" i="2"/>
  <c r="R16" i="2" l="1"/>
  <c r="R18" i="2"/>
  <c r="R23" i="2"/>
  <c r="Q28" i="2"/>
  <c r="R24" i="2"/>
  <c r="R12" i="2"/>
  <c r="R25" i="2"/>
  <c r="R19" i="2"/>
  <c r="R11" i="2"/>
  <c r="R9" i="2"/>
  <c r="R10" i="2"/>
  <c r="R17" i="2"/>
  <c r="R21" i="2"/>
  <c r="R22" i="2"/>
  <c r="R14" i="2"/>
  <c r="R15" i="2"/>
  <c r="Q27" i="2"/>
  <c r="R28" i="2" l="1"/>
  <c r="R27" i="2"/>
  <c r="I30" i="2"/>
  <c r="I31" i="2" s="1"/>
  <c r="J30" i="2" l="1"/>
  <c r="I33" i="2"/>
  <c r="I32" i="2"/>
  <c r="K30" i="2" l="1"/>
  <c r="J31" i="2"/>
  <c r="J32" i="2" s="1"/>
  <c r="J33" i="2"/>
  <c r="L30" i="2" l="1"/>
  <c r="K31" i="2"/>
  <c r="K32" i="2" s="1"/>
  <c r="K33" i="2"/>
  <c r="M30" i="2" l="1"/>
  <c r="L31" i="2"/>
  <c r="L32" i="2" s="1"/>
  <c r="L33" i="2"/>
  <c r="N30" i="2" l="1"/>
  <c r="M31" i="2"/>
  <c r="M32" i="2" s="1"/>
  <c r="M33" i="2"/>
  <c r="O30" i="2" l="1"/>
  <c r="N31" i="2"/>
  <c r="N32" i="2" s="1"/>
  <c r="N33" i="2"/>
  <c r="P30" i="2" l="1"/>
  <c r="O31" i="2"/>
  <c r="O32" i="2" s="1"/>
  <c r="O33" i="2"/>
  <c r="Q30" i="2" l="1"/>
  <c r="P31" i="2"/>
  <c r="P32" i="2" s="1"/>
  <c r="P33" i="2"/>
  <c r="R30" i="2" l="1"/>
  <c r="R31" i="2" s="1"/>
  <c r="Q31" i="2"/>
  <c r="Q32" i="2" s="1"/>
  <c r="Q33" i="2"/>
  <c r="R32" i="2" l="1"/>
  <c r="R33" i="2"/>
</calcChain>
</file>

<file path=xl/sharedStrings.xml><?xml version="1.0" encoding="utf-8"?>
<sst xmlns="http://schemas.openxmlformats.org/spreadsheetml/2006/main" count="303" uniqueCount="134">
  <si>
    <t>Data entry for Reserve Study</t>
  </si>
  <si>
    <t>Current year</t>
  </si>
  <si>
    <t>Painting:</t>
  </si>
  <si>
    <t>Siding:</t>
  </si>
  <si>
    <t>Gutters</t>
  </si>
  <si>
    <t>per sq ft</t>
  </si>
  <si>
    <t>installed, per sq ft</t>
  </si>
  <si>
    <t>installed, per ft</t>
  </si>
  <si>
    <t>Interest rate:</t>
  </si>
  <si>
    <t>Inflation rate:</t>
  </si>
  <si>
    <t>% p.a.</t>
  </si>
  <si>
    <t>Costs ($)</t>
  </si>
  <si>
    <t>QW Entry sign:</t>
  </si>
  <si>
    <t>ea</t>
  </si>
  <si>
    <t>Current</t>
  </si>
  <si>
    <t>Quantity</t>
  </si>
  <si>
    <t>replacmnt</t>
  </si>
  <si>
    <t>Useful</t>
  </si>
  <si>
    <t xml:space="preserve">Effective </t>
  </si>
  <si>
    <t>Asset</t>
  </si>
  <si>
    <t>unit</t>
  </si>
  <si>
    <t>cost</t>
  </si>
  <si>
    <t>life</t>
  </si>
  <si>
    <t>age</t>
  </si>
  <si>
    <t>Entry sign</t>
  </si>
  <si>
    <t>Playground</t>
  </si>
  <si>
    <t>sq ft</t>
  </si>
  <si>
    <t>Pool building</t>
  </si>
  <si>
    <t>Siding (ext)</t>
  </si>
  <si>
    <t>Roof</t>
  </si>
  <si>
    <t>Paint (ext)</t>
  </si>
  <si>
    <t>ft</t>
  </si>
  <si>
    <t>Electric</t>
  </si>
  <si>
    <t>Equipment shed</t>
  </si>
  <si>
    <t>Siding</t>
  </si>
  <si>
    <t>Paint</t>
  </si>
  <si>
    <t>Small bridge</t>
  </si>
  <si>
    <t>Equipment</t>
  </si>
  <si>
    <t>Total desired balance</t>
  </si>
  <si>
    <t>Total desired balance (with inflation)</t>
  </si>
  <si>
    <t>Deficit</t>
  </si>
  <si>
    <t>Deficit per unit</t>
  </si>
  <si>
    <t>Percentage of funding</t>
  </si>
  <si>
    <t>Annual total income:</t>
  </si>
  <si>
    <t>Annual transfer to reserve:</t>
  </si>
  <si>
    <t>Mowing contract:</t>
  </si>
  <si>
    <t>(=13x750)</t>
  </si>
  <si>
    <t>Bookkeeping contract:</t>
  </si>
  <si>
    <t>Common area ops:</t>
  </si>
  <si>
    <t>Site Manager contract:</t>
  </si>
  <si>
    <t>Office supplies:</t>
  </si>
  <si>
    <t>Pool Manager contract:</t>
  </si>
  <si>
    <t>Dahl contract:</t>
  </si>
  <si>
    <t>Total contracts:</t>
  </si>
  <si>
    <t>Annual total expenses:</t>
  </si>
  <si>
    <t>Carports</t>
  </si>
  <si>
    <t>linear ft</t>
  </si>
  <si>
    <t>Path paving</t>
  </si>
  <si>
    <t>Path lighting</t>
  </si>
  <si>
    <t>Total desired balance (infl adjusted)</t>
  </si>
  <si>
    <t>Assumptions:</t>
  </si>
  <si>
    <t>Annual operating costs (electricity, maintenance, minor repairs):</t>
  </si>
  <si>
    <t>LCA 1:</t>
  </si>
  <si>
    <t>LCA 3 all:</t>
  </si>
  <si>
    <t># units</t>
  </si>
  <si>
    <t>rplcmnt</t>
  </si>
  <si>
    <t>Pool:</t>
  </si>
  <si>
    <t>Insurance, tax, etc:</t>
  </si>
  <si>
    <t>lights</t>
  </si>
  <si>
    <t>Parking paving</t>
  </si>
  <si>
    <t>Total desired balance w inflation</t>
  </si>
  <si>
    <t>Annual total assessment:</t>
  </si>
  <si>
    <t>General Reserve Study for Quiet Water</t>
  </si>
  <si>
    <t>Reserve Study for LCA 1</t>
  </si>
  <si>
    <t>Operating costs (electricity, maintenance, minor repairs):</t>
  </si>
  <si>
    <t>Annual operating costs (maintenance, minor repairs):</t>
  </si>
  <si>
    <t>Reserve Study for LCA 3 excl carports</t>
  </si>
  <si>
    <t>Garages</t>
  </si>
  <si>
    <t>Reserve Study for LCA 4</t>
  </si>
  <si>
    <t>Annual total assessment</t>
  </si>
  <si>
    <t>Annual transfer to reserve</t>
  </si>
  <si>
    <t>$ amount</t>
  </si>
  <si>
    <t>Playground:</t>
  </si>
  <si>
    <t>Courts resurface:</t>
  </si>
  <si>
    <t>Association, w house</t>
  </si>
  <si>
    <t>Association, w lot:</t>
  </si>
  <si>
    <t>Pool replaster:</t>
  </si>
  <si>
    <t>Spa replaster:</t>
  </si>
  <si>
    <t>$</t>
  </si>
  <si>
    <t>Parking paving overlay:</t>
  </si>
  <si>
    <t>Path paving overlay:</t>
  </si>
  <si>
    <t>Path lights:</t>
  </si>
  <si>
    <t>Courts - resurface</t>
  </si>
  <si>
    <t>Pool replaster*</t>
  </si>
  <si>
    <t>Spa replaster*</t>
  </si>
  <si>
    <t>* Alternatively, use quote of $36000 from Emerald Pool and Spa, for complete pool and spa rehab (2015)</t>
  </si>
  <si>
    <t>LCA 3 cport part:</t>
  </si>
  <si>
    <t>LCA 4 McKinnon extra:</t>
  </si>
  <si>
    <t>Reserve Study for LCA 3 Carport part</t>
  </si>
  <si>
    <t>Paint (in/out)</t>
  </si>
  <si>
    <t>Current assessments per quarter:</t>
  </si>
  <si>
    <t>LCA 4:</t>
  </si>
  <si>
    <t>Lindsay LCA 2:</t>
  </si>
  <si>
    <t>LCA 2:</t>
  </si>
  <si>
    <t>Cash reserves</t>
  </si>
  <si>
    <t>Cash reserves (with interest)</t>
  </si>
  <si>
    <t>uses access road</t>
  </si>
  <si>
    <t>supplies elec to area; doesn't use path</t>
  </si>
  <si>
    <t>uses access and path only</t>
  </si>
  <si>
    <t>Annual expenses 2015-16:</t>
  </si>
  <si>
    <t>LCA 1</t>
  </si>
  <si>
    <t>LCA 2</t>
  </si>
  <si>
    <t>LCA 4</t>
  </si>
  <si>
    <t>LCA 3 other</t>
  </si>
  <si>
    <t>Composite Roofing*:</t>
  </si>
  <si>
    <t>Gutters*:</t>
  </si>
  <si>
    <t>Specifically, LCA I carport reroofing: $22,000. LCA II: $13,400. LCA III 4480. Pool building (excl surrounds) $8,500. Shed $1,730</t>
  </si>
  <si>
    <t xml:space="preserve">Revised costs, August 2018. Based on quotes from VMW Construction, replacing roofing and installing flashing and vapor barrier works out at more like $6/sq ft. </t>
  </si>
  <si>
    <t>And replacing gutters is about $8/ft. Downspouts  about $100 each. Combining gutters and downspouts into one, suggest $11 per ft of gutter.</t>
  </si>
  <si>
    <t>Actual</t>
  </si>
  <si>
    <t>%</t>
  </si>
  <si>
    <t>General Reserve</t>
  </si>
  <si>
    <t>LCA 3 carport</t>
  </si>
  <si>
    <t>Current fund balances</t>
  </si>
  <si>
    <t>Reserve Study for LCA 2</t>
  </si>
  <si>
    <t>Riparian Restore</t>
  </si>
  <si>
    <t>Total Reserves</t>
  </si>
  <si>
    <t>LCA 4 Case credit:</t>
  </si>
  <si>
    <t xml:space="preserve">&lt;    &lt;    &lt;    &lt;              Desired   Balances            &gt;    &gt;    &gt;    &gt; </t>
  </si>
  <si>
    <t xml:space="preserve">&lt;    &lt;    &lt;    &lt;              Desired   Balances           &gt;    &gt;    &gt;    &gt; </t>
  </si>
  <si>
    <t>per ft ($3.50/sq ft)</t>
  </si>
  <si>
    <t>Electricity credit for 238 Jennifer:</t>
  </si>
  <si>
    <t xml:space="preserve">June 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</si>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</sst>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/>
    <xf numFmtId="1" fontId="0" fillId="0" borderId="0" xfId="0" applyNumberFormat="1"/>
    <xf numFmtId="0" fontId="5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center"/>
    </xf>
    <xf numFmtId="0" fontId="10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/>
    <xf numFmtId="0" fontId="13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5" fillId="0" borderId="0" xfId="0" applyNumberFormat="1" applyFont="1"/>
    <xf numFmtId="0" fontId="10" fillId="0" borderId="9" xfId="0" applyFont="1" applyBorder="1" applyAlignment="1">
      <alignment horizontal="center"/>
    </xf>
    <xf numFmtId="1" fontId="15" fillId="0" borderId="0" xfId="0" applyNumberFormat="1" applyFont="1"/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right"/>
    </xf>
    <xf numFmtId="49" fontId="0" fillId="0" borderId="0" xfId="0" applyNumberFormat="1"/>
    <xf numFmtId="49" fontId="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topLeftCell="B8" workbookViewId="0">
      <selection activeCell="H18" sqref="H18"/>
    </sheetView>
  </sheetViews>
  <sheetFormatPr defaultRowHeight="14.4" x14ac:dyDescent="0.3"/>
  <cols>
    <col min="2" max="2" width="12.109375" customWidth="1"/>
    <col min="4" max="4" width="11" bestFit="1" customWidth="1"/>
    <col min="8" max="8" width="10.33203125" customWidth="1"/>
    <col min="16" max="16" width="9.5546875" bestFit="1" customWidth="1"/>
    <col min="17" max="17" width="8.88671875" style="1"/>
    <col min="19" max="19" width="9.5546875" bestFit="1" customWidth="1"/>
    <col min="20" max="20" width="9.5546875" style="1" bestFit="1" customWidth="1"/>
  </cols>
  <sheetData>
    <row r="1" spans="2:20" x14ac:dyDescent="0.3">
      <c r="C1" s="50" t="s">
        <v>0</v>
      </c>
      <c r="D1" s="50"/>
      <c r="E1" s="50"/>
      <c r="F1" s="50"/>
    </row>
    <row r="2" spans="2:20" x14ac:dyDescent="0.3">
      <c r="C2" s="50"/>
      <c r="D2" s="50"/>
      <c r="E2" s="50"/>
      <c r="F2" s="50"/>
    </row>
    <row r="4" spans="2:20" x14ac:dyDescent="0.3">
      <c r="B4" s="47" t="s">
        <v>1</v>
      </c>
      <c r="C4" s="47"/>
      <c r="D4" s="5">
        <v>2019</v>
      </c>
      <c r="F4" s="47" t="s">
        <v>133</v>
      </c>
      <c r="G4" s="47"/>
      <c r="H4" s="45" t="s">
        <v>132</v>
      </c>
    </row>
    <row r="6" spans="2:20" ht="18" x14ac:dyDescent="0.35">
      <c r="B6" s="51" t="s">
        <v>11</v>
      </c>
      <c r="C6" s="52"/>
      <c r="H6" s="32"/>
      <c r="I6" s="46" t="s">
        <v>100</v>
      </c>
      <c r="J6" s="46"/>
      <c r="K6" s="46"/>
      <c r="L6" s="46"/>
      <c r="Q6" s="1" t="s">
        <v>14</v>
      </c>
    </row>
    <row r="7" spans="2:20" ht="15" thickBot="1" x14ac:dyDescent="0.35">
      <c r="K7" t="s">
        <v>81</v>
      </c>
      <c r="L7" s="39" t="s">
        <v>64</v>
      </c>
      <c r="Q7" s="39" t="s">
        <v>119</v>
      </c>
      <c r="R7" s="1"/>
    </row>
    <row r="8" spans="2:20" ht="15" thickBot="1" x14ac:dyDescent="0.35">
      <c r="B8" s="47" t="s">
        <v>2</v>
      </c>
      <c r="C8" s="47"/>
      <c r="D8" s="3">
        <v>2</v>
      </c>
      <c r="E8" t="s">
        <v>5</v>
      </c>
      <c r="H8" s="47" t="s">
        <v>84</v>
      </c>
      <c r="I8" s="47"/>
      <c r="J8" s="48"/>
      <c r="K8" s="29">
        <v>200</v>
      </c>
      <c r="L8" s="29">
        <v>54</v>
      </c>
      <c r="Q8" s="29">
        <v>200</v>
      </c>
      <c r="R8" s="1"/>
      <c r="T8"/>
    </row>
    <row r="9" spans="2:20" ht="15" thickBot="1" x14ac:dyDescent="0.35">
      <c r="B9" s="47" t="s">
        <v>3</v>
      </c>
      <c r="C9" s="47"/>
      <c r="D9" s="3">
        <v>7.5</v>
      </c>
      <c r="E9" t="s">
        <v>6</v>
      </c>
      <c r="H9" s="47" t="s">
        <v>85</v>
      </c>
      <c r="I9" s="47"/>
      <c r="J9" s="48"/>
      <c r="K9" s="29">
        <v>100</v>
      </c>
      <c r="L9" s="29">
        <v>18</v>
      </c>
      <c r="Q9" s="29">
        <v>100</v>
      </c>
      <c r="R9" s="1"/>
      <c r="T9"/>
    </row>
    <row r="10" spans="2:20" ht="15" thickBot="1" x14ac:dyDescent="0.35">
      <c r="B10" s="47" t="s">
        <v>114</v>
      </c>
      <c r="C10" s="47"/>
      <c r="D10" s="3">
        <v>6</v>
      </c>
      <c r="E10" t="s">
        <v>6</v>
      </c>
      <c r="H10" s="44"/>
      <c r="I10" s="47" t="s">
        <v>62</v>
      </c>
      <c r="J10" s="48"/>
      <c r="K10" s="29">
        <v>145</v>
      </c>
      <c r="L10" s="29">
        <v>10</v>
      </c>
      <c r="Q10" s="29">
        <v>145</v>
      </c>
      <c r="R10" s="1"/>
      <c r="T10"/>
    </row>
    <row r="11" spans="2:20" ht="15" thickBot="1" x14ac:dyDescent="0.35">
      <c r="B11" s="47" t="s">
        <v>115</v>
      </c>
      <c r="C11" s="47"/>
      <c r="D11" s="3">
        <v>11</v>
      </c>
      <c r="E11" t="s">
        <v>7</v>
      </c>
      <c r="I11" s="47" t="s">
        <v>103</v>
      </c>
      <c r="J11" s="48"/>
      <c r="K11" s="29">
        <v>125</v>
      </c>
      <c r="L11" s="29">
        <v>7</v>
      </c>
      <c r="Q11" s="29">
        <v>125</v>
      </c>
      <c r="R11" s="1"/>
      <c r="T11"/>
    </row>
    <row r="12" spans="2:20" ht="15" thickBot="1" x14ac:dyDescent="0.35">
      <c r="B12" s="47" t="s">
        <v>90</v>
      </c>
      <c r="C12" s="47"/>
      <c r="D12" s="3">
        <v>14</v>
      </c>
      <c r="E12" t="s">
        <v>130</v>
      </c>
      <c r="J12" s="43" t="s">
        <v>96</v>
      </c>
      <c r="K12" s="29">
        <v>140</v>
      </c>
      <c r="L12" s="29">
        <v>2</v>
      </c>
      <c r="Q12" s="29">
        <v>140</v>
      </c>
      <c r="T12"/>
    </row>
    <row r="13" spans="2:20" ht="15" thickBot="1" x14ac:dyDescent="0.35">
      <c r="B13" s="47" t="s">
        <v>89</v>
      </c>
      <c r="C13" s="47"/>
      <c r="D13" s="3">
        <v>1.45</v>
      </c>
      <c r="E13" t="s">
        <v>5</v>
      </c>
      <c r="I13" s="47" t="s">
        <v>63</v>
      </c>
      <c r="J13" s="48"/>
      <c r="K13" s="29">
        <v>5</v>
      </c>
      <c r="L13" s="29">
        <v>6</v>
      </c>
      <c r="Q13" s="29">
        <v>5</v>
      </c>
      <c r="R13" s="1"/>
      <c r="T13"/>
    </row>
    <row r="14" spans="2:20" ht="15" thickBot="1" x14ac:dyDescent="0.35">
      <c r="B14" s="47" t="s">
        <v>86</v>
      </c>
      <c r="C14" s="49"/>
      <c r="D14" s="3">
        <v>4</v>
      </c>
      <c r="E14" t="s">
        <v>5</v>
      </c>
      <c r="I14" s="47" t="s">
        <v>101</v>
      </c>
      <c r="J14" s="48"/>
      <c r="K14" s="29">
        <v>145</v>
      </c>
      <c r="L14" s="29">
        <v>3</v>
      </c>
      <c r="Q14" s="29">
        <v>145</v>
      </c>
      <c r="R14" s="1"/>
      <c r="T14"/>
    </row>
    <row r="15" spans="2:20" ht="15" thickBot="1" x14ac:dyDescent="0.35">
      <c r="B15" s="47" t="s">
        <v>87</v>
      </c>
      <c r="C15" s="49"/>
      <c r="D15" s="5">
        <v>3000</v>
      </c>
      <c r="E15" t="s">
        <v>13</v>
      </c>
      <c r="G15" s="47" t="s">
        <v>97</v>
      </c>
      <c r="H15" s="47"/>
      <c r="I15" s="47"/>
      <c r="J15" s="48"/>
      <c r="K15" s="29">
        <v>9</v>
      </c>
      <c r="L15" s="29">
        <v>1</v>
      </c>
      <c r="M15" t="s">
        <v>106</v>
      </c>
      <c r="Q15" s="29">
        <v>9</v>
      </c>
      <c r="R15" s="1"/>
      <c r="T15"/>
    </row>
    <row r="16" spans="2:20" ht="15" thickBot="1" x14ac:dyDescent="0.35">
      <c r="B16" s="47" t="s">
        <v>83</v>
      </c>
      <c r="C16" s="47"/>
      <c r="D16" s="3">
        <v>9000</v>
      </c>
      <c r="E16" t="s">
        <v>13</v>
      </c>
      <c r="H16" s="47" t="s">
        <v>127</v>
      </c>
      <c r="I16" s="47"/>
      <c r="J16" s="48"/>
      <c r="K16" s="38">
        <v>20</v>
      </c>
      <c r="L16" s="29">
        <v>1</v>
      </c>
      <c r="M16" t="s">
        <v>107</v>
      </c>
      <c r="Q16" s="38">
        <v>20</v>
      </c>
      <c r="R16" s="1"/>
      <c r="T16"/>
    </row>
    <row r="17" spans="1:20" ht="15" thickBot="1" x14ac:dyDescent="0.35">
      <c r="B17" s="47" t="s">
        <v>12</v>
      </c>
      <c r="C17" s="47"/>
      <c r="D17" s="22">
        <v>1000</v>
      </c>
      <c r="E17" t="s">
        <v>13</v>
      </c>
      <c r="I17" s="47" t="s">
        <v>102</v>
      </c>
      <c r="J17" s="48"/>
      <c r="K17" s="29">
        <v>25</v>
      </c>
      <c r="L17" s="31">
        <v>1</v>
      </c>
      <c r="M17" t="s">
        <v>108</v>
      </c>
      <c r="Q17" s="29">
        <v>25</v>
      </c>
      <c r="R17" s="1"/>
      <c r="T17"/>
    </row>
    <row r="18" spans="1:20" x14ac:dyDescent="0.3">
      <c r="B18" s="47" t="s">
        <v>82</v>
      </c>
      <c r="C18" s="49"/>
      <c r="D18" s="22">
        <v>8000</v>
      </c>
      <c r="E18" t="s">
        <v>13</v>
      </c>
      <c r="K18" s="14"/>
      <c r="L18" s="14"/>
      <c r="Q18" s="14"/>
    </row>
    <row r="19" spans="1:20" x14ac:dyDescent="0.3">
      <c r="B19" s="47" t="s">
        <v>91</v>
      </c>
      <c r="C19" s="47"/>
      <c r="D19" s="3">
        <v>120</v>
      </c>
      <c r="E19" t="s">
        <v>13</v>
      </c>
      <c r="J19" s="2"/>
    </row>
    <row r="20" spans="1:20" x14ac:dyDescent="0.3">
      <c r="H20" s="40"/>
      <c r="I20" s="40"/>
      <c r="J20" s="2"/>
    </row>
    <row r="21" spans="1:20" x14ac:dyDescent="0.3">
      <c r="B21" s="2"/>
      <c r="C21" s="2"/>
      <c r="D21" s="4"/>
      <c r="H21" s="40"/>
      <c r="I21" s="40"/>
      <c r="J21" s="2"/>
    </row>
    <row r="22" spans="1:20" x14ac:dyDescent="0.3">
      <c r="B22" s="47" t="s">
        <v>8</v>
      </c>
      <c r="C22" s="47"/>
      <c r="D22" s="3">
        <v>1</v>
      </c>
      <c r="E22" t="s">
        <v>10</v>
      </c>
      <c r="H22" s="40"/>
      <c r="I22" s="40"/>
    </row>
    <row r="23" spans="1:20" x14ac:dyDescent="0.3">
      <c r="B23" s="47" t="s">
        <v>9</v>
      </c>
      <c r="C23" s="47"/>
      <c r="D23" s="3">
        <v>1</v>
      </c>
      <c r="E23" t="s">
        <v>10</v>
      </c>
      <c r="H23" s="40"/>
      <c r="I23" s="40"/>
    </row>
    <row r="24" spans="1:20" x14ac:dyDescent="0.3">
      <c r="I24" s="14"/>
      <c r="T24" s="1" t="s">
        <v>120</v>
      </c>
    </row>
    <row r="25" spans="1:20" x14ac:dyDescent="0.3">
      <c r="A25" s="47" t="s">
        <v>45</v>
      </c>
      <c r="B25" s="47"/>
      <c r="C25" s="47"/>
      <c r="D25" s="21">
        <v>9750</v>
      </c>
      <c r="E25" s="15" t="s">
        <v>46</v>
      </c>
      <c r="I25" s="14"/>
      <c r="L25" s="2"/>
      <c r="M25" s="2"/>
      <c r="N25" s="2"/>
      <c r="O25" s="28"/>
      <c r="T25" s="36"/>
    </row>
    <row r="26" spans="1:20" x14ac:dyDescent="0.3">
      <c r="A26" s="47" t="s">
        <v>47</v>
      </c>
      <c r="B26" s="47"/>
      <c r="C26" s="47"/>
      <c r="D26" s="21">
        <v>5400</v>
      </c>
      <c r="E26" s="14"/>
      <c r="H26" s="14"/>
      <c r="I26" s="14"/>
      <c r="L26" s="2"/>
      <c r="M26" s="2"/>
      <c r="N26" s="2"/>
      <c r="T26" s="36"/>
    </row>
    <row r="27" spans="1:20" x14ac:dyDescent="0.3">
      <c r="A27" s="47" t="s">
        <v>49</v>
      </c>
      <c r="B27" s="47"/>
      <c r="C27" s="47"/>
      <c r="D27" s="21">
        <v>9000</v>
      </c>
      <c r="E27" s="14"/>
      <c r="L27" s="2"/>
      <c r="M27" s="2"/>
      <c r="N27" s="2"/>
      <c r="T27" s="36"/>
    </row>
    <row r="28" spans="1:20" x14ac:dyDescent="0.3">
      <c r="A28" s="47" t="s">
        <v>51</v>
      </c>
      <c r="B28" s="47"/>
      <c r="C28" s="47"/>
      <c r="D28" s="21">
        <v>3000</v>
      </c>
      <c r="E28" s="14"/>
      <c r="L28" s="2"/>
      <c r="M28" s="2"/>
      <c r="N28" s="2"/>
      <c r="T28" s="36"/>
    </row>
    <row r="29" spans="1:20" x14ac:dyDescent="0.3">
      <c r="A29" s="47" t="s">
        <v>52</v>
      </c>
      <c r="B29" s="47"/>
      <c r="C29" s="47"/>
      <c r="D29" s="21">
        <v>10000</v>
      </c>
      <c r="E29" s="14"/>
      <c r="L29" s="2"/>
      <c r="T29" s="36"/>
    </row>
    <row r="30" spans="1:20" x14ac:dyDescent="0.3">
      <c r="A30" s="47" t="s">
        <v>53</v>
      </c>
      <c r="B30" s="47"/>
      <c r="C30" s="47"/>
      <c r="D30" s="15">
        <f>SUM(D25:D29)</f>
        <v>37150</v>
      </c>
      <c r="E30" s="15"/>
      <c r="L30" s="2"/>
      <c r="M30" s="2"/>
      <c r="N30" s="2"/>
      <c r="T30" s="36"/>
    </row>
    <row r="31" spans="1:20" x14ac:dyDescent="0.3">
      <c r="D31" s="14"/>
      <c r="L31" s="2"/>
      <c r="M31" s="2"/>
      <c r="N31" s="2"/>
    </row>
    <row r="32" spans="1:20" x14ac:dyDescent="0.3">
      <c r="B32" s="52" t="s">
        <v>123</v>
      </c>
      <c r="C32" s="52"/>
      <c r="D32" s="52"/>
      <c r="L32" s="2"/>
      <c r="M32" s="2"/>
      <c r="N32" s="2"/>
      <c r="O32" s="36"/>
    </row>
    <row r="33" spans="2:19" x14ac:dyDescent="0.3">
      <c r="B33" s="53" t="s">
        <v>121</v>
      </c>
      <c r="C33" s="53"/>
      <c r="D33" s="15">
        <v>76206</v>
      </c>
      <c r="L33" s="2"/>
      <c r="M33" s="2"/>
      <c r="N33" s="2"/>
    </row>
    <row r="34" spans="2:19" x14ac:dyDescent="0.3">
      <c r="B34" s="53" t="s">
        <v>110</v>
      </c>
      <c r="C34" s="53"/>
      <c r="D34" s="15">
        <v>16508</v>
      </c>
      <c r="O34" s="35"/>
      <c r="S34" s="37"/>
    </row>
    <row r="35" spans="2:19" x14ac:dyDescent="0.3">
      <c r="B35" s="53" t="s">
        <v>111</v>
      </c>
      <c r="C35" s="53"/>
      <c r="D35" s="15">
        <v>11973</v>
      </c>
      <c r="P35" s="35"/>
    </row>
    <row r="36" spans="2:19" x14ac:dyDescent="0.3">
      <c r="B36" s="53" t="s">
        <v>122</v>
      </c>
      <c r="C36" s="53"/>
      <c r="D36" s="42">
        <v>-1342</v>
      </c>
    </row>
    <row r="37" spans="2:19" x14ac:dyDescent="0.3">
      <c r="B37" s="53" t="s">
        <v>113</v>
      </c>
      <c r="C37" s="53"/>
      <c r="D37" s="15">
        <v>6397</v>
      </c>
    </row>
    <row r="38" spans="2:19" x14ac:dyDescent="0.3">
      <c r="B38" s="53" t="s">
        <v>112</v>
      </c>
      <c r="C38" s="53"/>
      <c r="D38" s="15">
        <v>4330</v>
      </c>
      <c r="K38" s="10"/>
    </row>
    <row r="39" spans="2:19" x14ac:dyDescent="0.3">
      <c r="B39" s="53" t="s">
        <v>125</v>
      </c>
      <c r="C39" s="53"/>
      <c r="D39" s="15">
        <v>3032</v>
      </c>
      <c r="G39" s="1"/>
      <c r="H39" s="1"/>
      <c r="K39" s="10"/>
    </row>
    <row r="40" spans="2:19" x14ac:dyDescent="0.3">
      <c r="B40" s="41"/>
      <c r="C40" s="41"/>
      <c r="D40" s="15"/>
      <c r="G40" s="1"/>
      <c r="H40" s="1"/>
      <c r="K40" s="10"/>
    </row>
    <row r="41" spans="2:19" x14ac:dyDescent="0.3">
      <c r="B41" s="53" t="s">
        <v>126</v>
      </c>
      <c r="C41" s="53"/>
      <c r="D41" s="15">
        <f>SUM(D33:D40)</f>
        <v>117104</v>
      </c>
      <c r="G41" s="1"/>
      <c r="H41" s="1"/>
      <c r="K41" s="10"/>
    </row>
    <row r="43" spans="2:19" x14ac:dyDescent="0.3">
      <c r="B43" t="s">
        <v>117</v>
      </c>
    </row>
    <row r="44" spans="2:19" x14ac:dyDescent="0.3">
      <c r="B44" t="s">
        <v>118</v>
      </c>
    </row>
    <row r="45" spans="2:19" x14ac:dyDescent="0.3">
      <c r="B45" t="s">
        <v>116</v>
      </c>
    </row>
  </sheetData>
  <sheetProtection selectLockedCells="1"/>
  <mergeCells count="43">
    <mergeCell ref="B38:C38"/>
    <mergeCell ref="B32:D32"/>
    <mergeCell ref="B39:C39"/>
    <mergeCell ref="B41:C41"/>
    <mergeCell ref="B33:C33"/>
    <mergeCell ref="B34:C34"/>
    <mergeCell ref="B35:C35"/>
    <mergeCell ref="B36:C36"/>
    <mergeCell ref="B37:C37"/>
    <mergeCell ref="B17:C17"/>
    <mergeCell ref="G15:J15"/>
    <mergeCell ref="B11:C11"/>
    <mergeCell ref="B12:C12"/>
    <mergeCell ref="B13:C13"/>
    <mergeCell ref="B15:C15"/>
    <mergeCell ref="I13:J13"/>
    <mergeCell ref="I14:J14"/>
    <mergeCell ref="H8:J8"/>
    <mergeCell ref="H9:J9"/>
    <mergeCell ref="I10:J10"/>
    <mergeCell ref="I11:J11"/>
    <mergeCell ref="H16:J16"/>
    <mergeCell ref="B8:C8"/>
    <mergeCell ref="C1:F2"/>
    <mergeCell ref="F4:G4"/>
    <mergeCell ref="B4:C4"/>
    <mergeCell ref="B6:C6"/>
    <mergeCell ref="I6:L6"/>
    <mergeCell ref="B9:C9"/>
    <mergeCell ref="B10:C10"/>
    <mergeCell ref="I17:J17"/>
    <mergeCell ref="A30:C30"/>
    <mergeCell ref="B18:C18"/>
    <mergeCell ref="B16:C16"/>
    <mergeCell ref="B23:C23"/>
    <mergeCell ref="A25:C25"/>
    <mergeCell ref="A26:C26"/>
    <mergeCell ref="A27:C27"/>
    <mergeCell ref="A28:C28"/>
    <mergeCell ref="A29:C29"/>
    <mergeCell ref="B19:C19"/>
    <mergeCell ref="B22:C22"/>
    <mergeCell ref="B14:C1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9"/>
  <sheetViews>
    <sheetView workbookViewId="0">
      <selection activeCell="K1" sqref="K1:L2"/>
    </sheetView>
  </sheetViews>
  <sheetFormatPr defaultRowHeight="14.4" x14ac:dyDescent="0.3"/>
  <sheetData>
    <row r="1" spans="1:19" ht="15" customHeight="1" x14ac:dyDescent="0.3">
      <c r="E1" s="50" t="s">
        <v>72</v>
      </c>
      <c r="F1" s="50"/>
      <c r="G1" s="50"/>
      <c r="H1" s="50"/>
      <c r="I1" s="50"/>
      <c r="J1" s="50"/>
      <c r="K1" s="64" t="str">
        <f>'Data input'!H4</f>
        <v xml:space="preserve">June </v>
      </c>
      <c r="L1" s="64"/>
      <c r="M1" s="50">
        <f>'Data input'!D4</f>
        <v>2019</v>
      </c>
      <c r="N1" s="17"/>
    </row>
    <row r="2" spans="1:19" ht="15" customHeight="1" x14ac:dyDescent="0.3">
      <c r="E2" s="50"/>
      <c r="F2" s="50"/>
      <c r="G2" s="50"/>
      <c r="H2" s="50"/>
      <c r="I2" s="50"/>
      <c r="J2" s="50"/>
      <c r="K2" s="64"/>
      <c r="L2" s="64"/>
      <c r="M2" s="50"/>
      <c r="N2" s="17"/>
    </row>
    <row r="4" spans="1:19" x14ac:dyDescent="0.3">
      <c r="B4" s="1"/>
      <c r="G4" s="61" t="s">
        <v>1</v>
      </c>
      <c r="H4" s="61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4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61">
        <f>M1</f>
        <v>2019</v>
      </c>
      <c r="H5" s="61"/>
      <c r="I5" s="1">
        <f>G5+1</f>
        <v>2020</v>
      </c>
      <c r="J5" s="1">
        <f>1+I5</f>
        <v>2021</v>
      </c>
      <c r="K5" s="1">
        <f t="shared" ref="K5:R5" si="1">1+J5</f>
        <v>2022</v>
      </c>
      <c r="L5" s="1">
        <f t="shared" si="1"/>
        <v>2023</v>
      </c>
      <c r="M5" s="1">
        <f t="shared" si="1"/>
        <v>2024</v>
      </c>
      <c r="N5" s="1">
        <f t="shared" si="1"/>
        <v>2025</v>
      </c>
      <c r="O5" s="1">
        <f t="shared" si="1"/>
        <v>2026</v>
      </c>
      <c r="P5" s="1">
        <f t="shared" si="1"/>
        <v>2027</v>
      </c>
      <c r="Q5" s="1">
        <f t="shared" si="1"/>
        <v>2028</v>
      </c>
      <c r="R5" s="1">
        <f t="shared" si="1"/>
        <v>2029</v>
      </c>
      <c r="S5" s="1"/>
    </row>
    <row r="6" spans="1:19" x14ac:dyDescent="0.3">
      <c r="A6" s="6"/>
      <c r="B6" s="1"/>
      <c r="C6" s="62" t="s">
        <v>15</v>
      </c>
      <c r="D6" s="62"/>
      <c r="E6" t="s">
        <v>16</v>
      </c>
      <c r="F6" s="1" t="s">
        <v>17</v>
      </c>
      <c r="G6" s="26" t="s">
        <v>18</v>
      </c>
      <c r="H6" s="63" t="s">
        <v>128</v>
      </c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9" x14ac:dyDescent="0.3">
      <c r="A7" s="7" t="s">
        <v>19</v>
      </c>
      <c r="B7" s="7"/>
      <c r="C7" s="7"/>
      <c r="D7" s="7" t="s">
        <v>20</v>
      </c>
      <c r="E7" s="1" t="s">
        <v>21</v>
      </c>
      <c r="F7" s="1" t="s">
        <v>22</v>
      </c>
      <c r="G7" s="26" t="s">
        <v>23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9" x14ac:dyDescent="0.3">
      <c r="E8" s="1"/>
      <c r="F8" s="1"/>
      <c r="G8" s="1"/>
      <c r="H8" s="1"/>
      <c r="I8" s="1"/>
      <c r="J8" s="1"/>
      <c r="K8" s="1"/>
      <c r="L8" s="1"/>
      <c r="M8" s="1"/>
    </row>
    <row r="9" spans="1:19" x14ac:dyDescent="0.3">
      <c r="A9" s="60" t="s">
        <v>24</v>
      </c>
      <c r="B9" s="60"/>
      <c r="C9" s="27">
        <f>'Data input'!D17</f>
        <v>1000</v>
      </c>
      <c r="D9" s="8" t="s">
        <v>88</v>
      </c>
      <c r="E9" s="28">
        <f>C9</f>
        <v>1000</v>
      </c>
      <c r="F9" s="11">
        <v>30</v>
      </c>
      <c r="G9" s="9">
        <v>0</v>
      </c>
      <c r="H9" s="23">
        <f>(E9*G9/F9)</f>
        <v>0</v>
      </c>
      <c r="I9" s="10">
        <f>($E$9*($G$9+I4)/$F$9)</f>
        <v>33.333333333333336</v>
      </c>
      <c r="J9" s="10">
        <f t="shared" ref="J9:R9" si="2">($E$9*($G$9+J4)/$F$9)</f>
        <v>66.666666666666671</v>
      </c>
      <c r="K9" s="10">
        <f t="shared" si="2"/>
        <v>100</v>
      </c>
      <c r="L9" s="10">
        <f t="shared" si="2"/>
        <v>133.33333333333334</v>
      </c>
      <c r="M9" s="10">
        <f t="shared" si="2"/>
        <v>166.66666666666666</v>
      </c>
      <c r="N9" s="10">
        <f t="shared" si="2"/>
        <v>200</v>
      </c>
      <c r="O9" s="10">
        <f t="shared" si="2"/>
        <v>233.33333333333334</v>
      </c>
      <c r="P9" s="10">
        <f t="shared" si="2"/>
        <v>266.66666666666669</v>
      </c>
      <c r="Q9" s="10">
        <f t="shared" si="2"/>
        <v>300</v>
      </c>
      <c r="R9" s="10">
        <f t="shared" si="2"/>
        <v>333.33333333333331</v>
      </c>
      <c r="S9" s="10"/>
    </row>
    <row r="10" spans="1:19" x14ac:dyDescent="0.3">
      <c r="A10" t="s">
        <v>25</v>
      </c>
      <c r="C10" s="27">
        <f>'Data input'!D18</f>
        <v>8000</v>
      </c>
      <c r="D10" t="s">
        <v>88</v>
      </c>
      <c r="E10" s="28">
        <f>C10</f>
        <v>8000</v>
      </c>
      <c r="F10" s="11">
        <v>30</v>
      </c>
      <c r="G10" s="9">
        <f>25+$G$5-2019</f>
        <v>25</v>
      </c>
      <c r="H10" s="23">
        <f>(E10*G10/F10)</f>
        <v>6666.666666666667</v>
      </c>
      <c r="I10" s="10">
        <f>($E$10*($G$10+I4)/$F$10)</f>
        <v>6933.333333333333</v>
      </c>
      <c r="J10" s="10">
        <f t="shared" ref="J10:R10" si="3">($E$10*($G$10+J4)/$F$10)</f>
        <v>7200</v>
      </c>
      <c r="K10" s="10">
        <f t="shared" si="3"/>
        <v>7466.666666666667</v>
      </c>
      <c r="L10" s="10">
        <f t="shared" si="3"/>
        <v>7733.333333333333</v>
      </c>
      <c r="M10" s="10">
        <f t="shared" si="3"/>
        <v>8000</v>
      </c>
      <c r="N10" s="10">
        <f t="shared" si="3"/>
        <v>8266.6666666666661</v>
      </c>
      <c r="O10" s="10">
        <f t="shared" si="3"/>
        <v>8533.3333333333339</v>
      </c>
      <c r="P10" s="10">
        <f t="shared" si="3"/>
        <v>8800</v>
      </c>
      <c r="Q10" s="10">
        <f t="shared" si="3"/>
        <v>9066.6666666666661</v>
      </c>
      <c r="R10" s="10">
        <f t="shared" si="3"/>
        <v>9333.3333333333339</v>
      </c>
      <c r="S10" s="10"/>
    </row>
    <row r="11" spans="1:19" x14ac:dyDescent="0.3">
      <c r="A11" t="s">
        <v>93</v>
      </c>
      <c r="C11" s="16">
        <v>10000</v>
      </c>
      <c r="D11" t="s">
        <v>26</v>
      </c>
      <c r="E11" s="11">
        <f>C11*'Data input'!D14</f>
        <v>40000</v>
      </c>
      <c r="F11" s="11">
        <v>40</v>
      </c>
      <c r="G11" s="9">
        <f>35+$G$5-2019</f>
        <v>35</v>
      </c>
      <c r="H11" s="23">
        <f t="shared" ref="H11:H25" si="4">(E11*G11/F11)</f>
        <v>35000</v>
      </c>
      <c r="I11" s="10">
        <f>($E$11*($G$11+I4)/$F$11)</f>
        <v>36000</v>
      </c>
      <c r="J11" s="10">
        <f t="shared" ref="J11:R11" si="5">($E$11*($G$11+J4)/$F$11)</f>
        <v>37000</v>
      </c>
      <c r="K11" s="10">
        <f t="shared" si="5"/>
        <v>38000</v>
      </c>
      <c r="L11" s="10">
        <f t="shared" si="5"/>
        <v>39000</v>
      </c>
      <c r="M11" s="10">
        <f t="shared" si="5"/>
        <v>40000</v>
      </c>
      <c r="N11" s="10">
        <f t="shared" si="5"/>
        <v>41000</v>
      </c>
      <c r="O11" s="10">
        <f t="shared" si="5"/>
        <v>42000</v>
      </c>
      <c r="P11" s="10">
        <f t="shared" si="5"/>
        <v>43000</v>
      </c>
      <c r="Q11" s="10">
        <f t="shared" si="5"/>
        <v>44000</v>
      </c>
      <c r="R11" s="10">
        <f t="shared" si="5"/>
        <v>45000</v>
      </c>
    </row>
    <row r="12" spans="1:19" x14ac:dyDescent="0.3">
      <c r="A12" t="s">
        <v>94</v>
      </c>
      <c r="C12" s="16">
        <f>'Data input'!D15</f>
        <v>3000</v>
      </c>
      <c r="D12" t="s">
        <v>88</v>
      </c>
      <c r="E12" s="11">
        <f>C12</f>
        <v>3000</v>
      </c>
      <c r="F12" s="11">
        <v>40</v>
      </c>
      <c r="G12" s="9">
        <f>35+$G$5-2019</f>
        <v>35</v>
      </c>
      <c r="H12" s="23">
        <f t="shared" si="4"/>
        <v>2625</v>
      </c>
      <c r="I12" s="10">
        <f>($E$12*($G$12+I4)/$F$12)</f>
        <v>2700</v>
      </c>
      <c r="J12" s="10">
        <f t="shared" ref="J12:R12" si="6">($E$12*($G$12+J4)/$F$12)</f>
        <v>2775</v>
      </c>
      <c r="K12" s="10">
        <f t="shared" si="6"/>
        <v>2850</v>
      </c>
      <c r="L12" s="10">
        <f t="shared" si="6"/>
        <v>2925</v>
      </c>
      <c r="M12" s="10">
        <f t="shared" si="6"/>
        <v>3000</v>
      </c>
      <c r="N12" s="10">
        <f t="shared" si="6"/>
        <v>3075</v>
      </c>
      <c r="O12" s="10">
        <f t="shared" si="6"/>
        <v>3150</v>
      </c>
      <c r="P12" s="10">
        <f t="shared" si="6"/>
        <v>3225</v>
      </c>
      <c r="Q12" s="10">
        <f t="shared" si="6"/>
        <v>3300</v>
      </c>
      <c r="R12" s="10">
        <f t="shared" si="6"/>
        <v>3375</v>
      </c>
    </row>
    <row r="13" spans="1:19" x14ac:dyDescent="0.3">
      <c r="A13" t="s">
        <v>27</v>
      </c>
      <c r="E13" s="11"/>
      <c r="F13" s="11"/>
      <c r="G13" s="9"/>
      <c r="H13" s="23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9" x14ac:dyDescent="0.3">
      <c r="A14" s="47" t="s">
        <v>28</v>
      </c>
      <c r="B14" s="47"/>
      <c r="C14" s="16">
        <v>1600</v>
      </c>
      <c r="D14" t="s">
        <v>26</v>
      </c>
      <c r="E14" s="11">
        <f>C14*'Data input'!D9</f>
        <v>12000</v>
      </c>
      <c r="F14" s="11">
        <v>30</v>
      </c>
      <c r="G14" s="9">
        <f>12+$G$5-2019</f>
        <v>12</v>
      </c>
      <c r="H14" s="23">
        <f>($E$14*$G$14/$F$14)</f>
        <v>4800</v>
      </c>
      <c r="I14" s="10">
        <f>($E$14*($G$14+I4)/$F$14)</f>
        <v>5200</v>
      </c>
      <c r="J14" s="10">
        <f t="shared" ref="J14:R14" si="7">($E$14*($G$14+J4)/$F$14)</f>
        <v>5600</v>
      </c>
      <c r="K14" s="10">
        <f t="shared" si="7"/>
        <v>6000</v>
      </c>
      <c r="L14" s="10">
        <f t="shared" si="7"/>
        <v>6400</v>
      </c>
      <c r="M14" s="10">
        <f t="shared" si="7"/>
        <v>6800</v>
      </c>
      <c r="N14" s="10">
        <f t="shared" si="7"/>
        <v>7200</v>
      </c>
      <c r="O14" s="10">
        <f t="shared" si="7"/>
        <v>7600</v>
      </c>
      <c r="P14" s="10">
        <f t="shared" si="7"/>
        <v>8000</v>
      </c>
      <c r="Q14" s="10">
        <f t="shared" si="7"/>
        <v>8400</v>
      </c>
      <c r="R14" s="10">
        <f t="shared" si="7"/>
        <v>8800</v>
      </c>
    </row>
    <row r="15" spans="1:19" x14ac:dyDescent="0.3">
      <c r="A15" s="47" t="s">
        <v>29</v>
      </c>
      <c r="B15" s="47"/>
      <c r="C15" s="16">
        <v>1650</v>
      </c>
      <c r="D15" t="s">
        <v>26</v>
      </c>
      <c r="E15" s="11">
        <f>C15*'Data input'!D10</f>
        <v>9900</v>
      </c>
      <c r="F15" s="11">
        <v>25</v>
      </c>
      <c r="G15" s="9">
        <f>20+$G$5-2019</f>
        <v>20</v>
      </c>
      <c r="H15" s="23">
        <f>($E$15*$G$15/$F$15)</f>
        <v>7920</v>
      </c>
      <c r="I15" s="10">
        <f>($E$15*($G$15+I4)/$F$15)</f>
        <v>8316</v>
      </c>
      <c r="J15" s="10">
        <f t="shared" ref="J15:R15" si="8">($E$15*($G$15+J4)/$F$15)</f>
        <v>8712</v>
      </c>
      <c r="K15" s="10">
        <f t="shared" si="8"/>
        <v>9108</v>
      </c>
      <c r="L15" s="10">
        <f t="shared" si="8"/>
        <v>9504</v>
      </c>
      <c r="M15" s="10">
        <f t="shared" si="8"/>
        <v>9900</v>
      </c>
      <c r="N15" s="10">
        <f t="shared" si="8"/>
        <v>10296</v>
      </c>
      <c r="O15" s="10">
        <f t="shared" si="8"/>
        <v>10692</v>
      </c>
      <c r="P15" s="10">
        <f t="shared" si="8"/>
        <v>11088</v>
      </c>
      <c r="Q15" s="10">
        <f t="shared" si="8"/>
        <v>11484</v>
      </c>
      <c r="R15" s="10">
        <f t="shared" si="8"/>
        <v>11880</v>
      </c>
    </row>
    <row r="16" spans="1:19" x14ac:dyDescent="0.3">
      <c r="A16" s="47" t="s">
        <v>30</v>
      </c>
      <c r="B16" s="47"/>
      <c r="C16" s="16">
        <v>1600</v>
      </c>
      <c r="D16" t="s">
        <v>26</v>
      </c>
      <c r="E16" s="11">
        <v>3200</v>
      </c>
      <c r="F16" s="11">
        <v>8</v>
      </c>
      <c r="G16" s="9">
        <f>1+$G$5-2019</f>
        <v>1</v>
      </c>
      <c r="H16" s="23">
        <f>($E$16*$G$16/$F$16)</f>
        <v>400</v>
      </c>
      <c r="I16" s="10">
        <f>$E$16*(I4)/$F$16</f>
        <v>400</v>
      </c>
      <c r="J16" s="10">
        <f>$E$16*(J4)/$F$16</f>
        <v>800</v>
      </c>
      <c r="K16" s="10">
        <f>$E$16*(K4)/$F$16</f>
        <v>1200</v>
      </c>
      <c r="L16" s="10">
        <f>$E$16*(L4)/$F$16</f>
        <v>1600</v>
      </c>
      <c r="M16" s="10">
        <f t="shared" ref="M16:R16" si="9">$E$16*(M4)/$F$16</f>
        <v>2000</v>
      </c>
      <c r="N16" s="10">
        <f t="shared" si="9"/>
        <v>2400</v>
      </c>
      <c r="O16" s="10">
        <f t="shared" si="9"/>
        <v>2800</v>
      </c>
      <c r="P16" s="10">
        <f t="shared" si="9"/>
        <v>3200</v>
      </c>
      <c r="Q16" s="10">
        <f t="shared" si="9"/>
        <v>3600</v>
      </c>
      <c r="R16" s="10">
        <f t="shared" si="9"/>
        <v>4000</v>
      </c>
    </row>
    <row r="17" spans="1:19" x14ac:dyDescent="0.3">
      <c r="B17" s="2" t="s">
        <v>4</v>
      </c>
      <c r="C17" s="16">
        <v>200</v>
      </c>
      <c r="D17" t="s">
        <v>31</v>
      </c>
      <c r="E17" s="11">
        <f>C17*'Data input'!D11</f>
        <v>2200</v>
      </c>
      <c r="F17" s="11">
        <v>25</v>
      </c>
      <c r="G17" s="9">
        <f>20+$G$5-2019</f>
        <v>20</v>
      </c>
      <c r="H17" s="23">
        <f>($E$17*$G$17/$F$17)</f>
        <v>1760</v>
      </c>
      <c r="I17" s="10">
        <f>($E$17*($G$17+I4)/$F$17)</f>
        <v>1848</v>
      </c>
      <c r="J17" s="10">
        <f t="shared" ref="J17:R17" si="10">($E$17*($G$17+J4)/$F$17)</f>
        <v>1936</v>
      </c>
      <c r="K17" s="10">
        <f t="shared" si="10"/>
        <v>2024</v>
      </c>
      <c r="L17" s="10">
        <f t="shared" si="10"/>
        <v>2112</v>
      </c>
      <c r="M17" s="10">
        <f t="shared" si="10"/>
        <v>2200</v>
      </c>
      <c r="N17" s="10">
        <f t="shared" si="10"/>
        <v>2288</v>
      </c>
      <c r="O17" s="10">
        <f t="shared" si="10"/>
        <v>2376</v>
      </c>
      <c r="P17" s="10">
        <f t="shared" si="10"/>
        <v>2464</v>
      </c>
      <c r="Q17" s="10">
        <f t="shared" si="10"/>
        <v>2552</v>
      </c>
      <c r="R17" s="10">
        <f t="shared" si="10"/>
        <v>2640</v>
      </c>
    </row>
    <row r="18" spans="1:19" x14ac:dyDescent="0.3">
      <c r="B18" s="2" t="s">
        <v>32</v>
      </c>
      <c r="C18" s="16">
        <v>2500</v>
      </c>
      <c r="D18" t="s">
        <v>88</v>
      </c>
      <c r="E18" s="11">
        <f>C18</f>
        <v>2500</v>
      </c>
      <c r="F18" s="11">
        <v>40</v>
      </c>
      <c r="G18" s="9">
        <f>16+$G$5-2019</f>
        <v>16</v>
      </c>
      <c r="H18" s="23">
        <f>($E$18*$G$18/$F$18)</f>
        <v>1000</v>
      </c>
      <c r="I18" s="28">
        <f>($E$18*($G$18+I4)/$F$18)</f>
        <v>1062.5</v>
      </c>
      <c r="J18" s="28">
        <f t="shared" ref="J18:R18" si="11">($E$18*($G$18+J4)/$F$18)</f>
        <v>1125</v>
      </c>
      <c r="K18" s="28">
        <f t="shared" si="11"/>
        <v>1187.5</v>
      </c>
      <c r="L18" s="28">
        <f t="shared" si="11"/>
        <v>1250</v>
      </c>
      <c r="M18" s="28">
        <f t="shared" si="11"/>
        <v>1312.5</v>
      </c>
      <c r="N18" s="28">
        <f t="shared" si="11"/>
        <v>1375</v>
      </c>
      <c r="O18" s="28">
        <f t="shared" si="11"/>
        <v>1437.5</v>
      </c>
      <c r="P18" s="28">
        <f t="shared" si="11"/>
        <v>1500</v>
      </c>
      <c r="Q18" s="28">
        <f t="shared" si="11"/>
        <v>1562.5</v>
      </c>
      <c r="R18" s="28">
        <f t="shared" si="11"/>
        <v>1625</v>
      </c>
    </row>
    <row r="19" spans="1:19" x14ac:dyDescent="0.3">
      <c r="A19" t="s">
        <v>92</v>
      </c>
      <c r="C19" s="16">
        <v>9000</v>
      </c>
      <c r="D19" t="s">
        <v>88</v>
      </c>
      <c r="E19" s="11">
        <v>9000</v>
      </c>
      <c r="F19" s="11">
        <v>10</v>
      </c>
      <c r="G19" s="9">
        <f>1+$G$5-2019</f>
        <v>1</v>
      </c>
      <c r="H19" s="23">
        <f t="shared" si="4"/>
        <v>900</v>
      </c>
      <c r="I19" s="10">
        <f>($E$19*($G$19+I4)/$F$19)</f>
        <v>1800</v>
      </c>
      <c r="J19" s="10">
        <f t="shared" ref="J19:R19" si="12">($E$19*($G$19+J4)/$F$19)</f>
        <v>2700</v>
      </c>
      <c r="K19" s="10">
        <f t="shared" si="12"/>
        <v>3600</v>
      </c>
      <c r="L19" s="10">
        <f t="shared" si="12"/>
        <v>4500</v>
      </c>
      <c r="M19" s="10">
        <f t="shared" si="12"/>
        <v>5400</v>
      </c>
      <c r="N19" s="10">
        <f t="shared" si="12"/>
        <v>6300</v>
      </c>
      <c r="O19" s="10">
        <f t="shared" si="12"/>
        <v>7200</v>
      </c>
      <c r="P19" s="10">
        <f t="shared" si="12"/>
        <v>8100</v>
      </c>
      <c r="Q19" s="10">
        <f t="shared" si="12"/>
        <v>9000</v>
      </c>
      <c r="R19" s="10">
        <f t="shared" si="12"/>
        <v>9900</v>
      </c>
    </row>
    <row r="20" spans="1:19" x14ac:dyDescent="0.3">
      <c r="A20" t="s">
        <v>33</v>
      </c>
      <c r="C20" s="16"/>
      <c r="E20" s="11"/>
      <c r="F20" s="11"/>
      <c r="G20" s="9"/>
      <c r="H20" s="23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3">
      <c r="B21" s="2" t="s">
        <v>34</v>
      </c>
      <c r="C21" s="16">
        <v>505</v>
      </c>
      <c r="D21" t="s">
        <v>26</v>
      </c>
      <c r="E21" s="11">
        <f>C21*'Data input'!D9</f>
        <v>3787.5</v>
      </c>
      <c r="F21" s="11">
        <v>30</v>
      </c>
      <c r="G21" s="9">
        <f>12+$G$5-2019</f>
        <v>12</v>
      </c>
      <c r="H21" s="23">
        <f>($E$21*$G$21/$F$21)</f>
        <v>1515</v>
      </c>
      <c r="I21" s="10">
        <f>($E$21*($G$21+I4)/$F$21)</f>
        <v>1641.25</v>
      </c>
      <c r="J21" s="10">
        <f t="shared" ref="J21:R21" si="13">($E$21*($G$21+J4)/$F$21)</f>
        <v>1767.5</v>
      </c>
      <c r="K21" s="10">
        <f t="shared" si="13"/>
        <v>1893.75</v>
      </c>
      <c r="L21" s="10">
        <f t="shared" si="13"/>
        <v>2020</v>
      </c>
      <c r="M21" s="10">
        <f t="shared" si="13"/>
        <v>2146.25</v>
      </c>
      <c r="N21" s="10">
        <f t="shared" si="13"/>
        <v>2272.5</v>
      </c>
      <c r="O21" s="10">
        <f t="shared" si="13"/>
        <v>2398.75</v>
      </c>
      <c r="P21" s="10">
        <f t="shared" si="13"/>
        <v>2525</v>
      </c>
      <c r="Q21" s="10">
        <f t="shared" si="13"/>
        <v>2651.25</v>
      </c>
      <c r="R21" s="10">
        <f t="shared" si="13"/>
        <v>2777.5</v>
      </c>
    </row>
    <row r="22" spans="1:19" x14ac:dyDescent="0.3">
      <c r="B22" s="2" t="s">
        <v>29</v>
      </c>
      <c r="C22" s="16">
        <v>380</v>
      </c>
      <c r="D22" t="s">
        <v>26</v>
      </c>
      <c r="E22" s="11">
        <f>C22*'Data input'!D10</f>
        <v>2280</v>
      </c>
      <c r="F22" s="11">
        <v>20</v>
      </c>
      <c r="G22" s="9">
        <f>20+$G$5-2019</f>
        <v>20</v>
      </c>
      <c r="H22" s="23">
        <f>($E$22*$G$22/$F$22)</f>
        <v>2280</v>
      </c>
      <c r="I22" s="10">
        <f>($E$22*($G$22+I4)/$F$22)</f>
        <v>2394</v>
      </c>
      <c r="J22" s="10">
        <f t="shared" ref="J22:R22" si="14">($E$22*($G$22+J4)/$F$22)</f>
        <v>2508</v>
      </c>
      <c r="K22" s="10">
        <f t="shared" si="14"/>
        <v>2622</v>
      </c>
      <c r="L22" s="10">
        <f t="shared" si="14"/>
        <v>2736</v>
      </c>
      <c r="M22" s="10">
        <f t="shared" si="14"/>
        <v>2850</v>
      </c>
      <c r="N22" s="10">
        <f t="shared" si="14"/>
        <v>2964</v>
      </c>
      <c r="O22" s="10">
        <f t="shared" si="14"/>
        <v>3078</v>
      </c>
      <c r="P22" s="10">
        <f t="shared" si="14"/>
        <v>3192</v>
      </c>
      <c r="Q22" s="10">
        <f t="shared" si="14"/>
        <v>3306</v>
      </c>
      <c r="R22" s="10">
        <f t="shared" si="14"/>
        <v>3420</v>
      </c>
    </row>
    <row r="23" spans="1:19" x14ac:dyDescent="0.3">
      <c r="B23" s="2" t="s">
        <v>35</v>
      </c>
      <c r="C23" s="16">
        <v>505</v>
      </c>
      <c r="D23" t="s">
        <v>26</v>
      </c>
      <c r="E23" s="11">
        <f>C23*'Data input'!D8</f>
        <v>1010</v>
      </c>
      <c r="F23" s="11">
        <v>8</v>
      </c>
      <c r="G23" s="9">
        <f>1+$G$5-2019</f>
        <v>1</v>
      </c>
      <c r="H23" s="23">
        <f>($E$23*$G$23/$F$23)</f>
        <v>126.25</v>
      </c>
      <c r="I23" s="10">
        <f>($E$23*(I4)/$F$23)</f>
        <v>126.25</v>
      </c>
      <c r="J23" s="10">
        <f t="shared" ref="J23:R23" si="15">($E$23*(J4)/$F$23)</f>
        <v>252.5</v>
      </c>
      <c r="K23" s="10">
        <f t="shared" si="15"/>
        <v>378.75</v>
      </c>
      <c r="L23" s="10">
        <f t="shared" si="15"/>
        <v>505</v>
      </c>
      <c r="M23" s="10">
        <f t="shared" si="15"/>
        <v>631.25</v>
      </c>
      <c r="N23" s="10">
        <f t="shared" si="15"/>
        <v>757.5</v>
      </c>
      <c r="O23" s="10">
        <f t="shared" si="15"/>
        <v>883.75</v>
      </c>
      <c r="P23" s="10">
        <f t="shared" si="15"/>
        <v>1010</v>
      </c>
      <c r="Q23" s="10">
        <f t="shared" si="15"/>
        <v>1136.25</v>
      </c>
      <c r="R23" s="10">
        <f t="shared" si="15"/>
        <v>1262.5</v>
      </c>
    </row>
    <row r="24" spans="1:19" x14ac:dyDescent="0.3">
      <c r="A24" t="s">
        <v>36</v>
      </c>
      <c r="E24" s="11">
        <v>2000</v>
      </c>
      <c r="F24" s="11">
        <v>30</v>
      </c>
      <c r="G24" s="9">
        <f>25+$G$5-2019</f>
        <v>25</v>
      </c>
      <c r="H24" s="23">
        <f t="shared" si="4"/>
        <v>1666.6666666666667</v>
      </c>
      <c r="I24" s="10">
        <f t="shared" ref="I24:R24" si="16">($E$24*($G$24+I4)/$F$24)</f>
        <v>1733.3333333333333</v>
      </c>
      <c r="J24" s="10">
        <f t="shared" si="16"/>
        <v>1800</v>
      </c>
      <c r="K24" s="10">
        <f t="shared" si="16"/>
        <v>1866.6666666666667</v>
      </c>
      <c r="L24" s="10">
        <f t="shared" si="16"/>
        <v>1933.3333333333333</v>
      </c>
      <c r="M24" s="10">
        <f t="shared" si="16"/>
        <v>2000</v>
      </c>
      <c r="N24" s="10">
        <f t="shared" si="16"/>
        <v>2066.6666666666665</v>
      </c>
      <c r="O24" s="10">
        <f t="shared" si="16"/>
        <v>2133.3333333333335</v>
      </c>
      <c r="P24" s="10">
        <f t="shared" si="16"/>
        <v>2200</v>
      </c>
      <c r="Q24" s="10">
        <f t="shared" si="16"/>
        <v>2266.6666666666665</v>
      </c>
      <c r="R24" s="10">
        <f t="shared" si="16"/>
        <v>2333.3333333333335</v>
      </c>
      <c r="S24" s="10"/>
    </row>
    <row r="25" spans="1:19" x14ac:dyDescent="0.3">
      <c r="A25" t="s">
        <v>37</v>
      </c>
      <c r="E25" s="11">
        <v>12000</v>
      </c>
      <c r="F25" s="11">
        <v>10</v>
      </c>
      <c r="G25" s="9">
        <f>7+$G$5-2019</f>
        <v>7</v>
      </c>
      <c r="H25" s="23">
        <f t="shared" si="4"/>
        <v>8400</v>
      </c>
      <c r="I25" s="10">
        <f t="shared" ref="I25:R25" si="17">($E$25*($G$25+I4)/$F$25)</f>
        <v>9600</v>
      </c>
      <c r="J25" s="10">
        <f t="shared" si="17"/>
        <v>10800</v>
      </c>
      <c r="K25" s="10">
        <f t="shared" si="17"/>
        <v>12000</v>
      </c>
      <c r="L25" s="10">
        <f t="shared" si="17"/>
        <v>13200</v>
      </c>
      <c r="M25" s="10">
        <f t="shared" si="17"/>
        <v>14400</v>
      </c>
      <c r="N25" s="10">
        <f t="shared" si="17"/>
        <v>15600</v>
      </c>
      <c r="O25" s="10">
        <f t="shared" si="17"/>
        <v>16800</v>
      </c>
      <c r="P25" s="10">
        <f t="shared" si="17"/>
        <v>18000</v>
      </c>
      <c r="Q25" s="10">
        <f t="shared" si="17"/>
        <v>19200</v>
      </c>
      <c r="R25" s="10">
        <f t="shared" si="17"/>
        <v>20400</v>
      </c>
    </row>
    <row r="26" spans="1:19" x14ac:dyDescent="0.3">
      <c r="E26" s="9"/>
      <c r="F26" s="9"/>
      <c r="G26" s="9"/>
      <c r="H26" s="23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9" x14ac:dyDescent="0.3">
      <c r="A27" t="s">
        <v>38</v>
      </c>
      <c r="H27" s="23">
        <f>SUM(H9:H25)</f>
        <v>75059.583333333328</v>
      </c>
      <c r="I27" s="10">
        <f t="shared" ref="I27:R27" si="18">SUM(I9:I25)</f>
        <v>79787.999999999985</v>
      </c>
      <c r="J27" s="10">
        <f t="shared" si="18"/>
        <v>85042.666666666657</v>
      </c>
      <c r="K27" s="10">
        <f t="shared" si="18"/>
        <v>90297.333333333328</v>
      </c>
      <c r="L27" s="10">
        <f t="shared" si="18"/>
        <v>95551.999999999985</v>
      </c>
      <c r="M27" s="10">
        <f t="shared" si="18"/>
        <v>100806.66666666666</v>
      </c>
      <c r="N27" s="10">
        <f t="shared" si="18"/>
        <v>106061.33333333333</v>
      </c>
      <c r="O27" s="10">
        <f t="shared" si="18"/>
        <v>111316</v>
      </c>
      <c r="P27" s="10">
        <f t="shared" si="18"/>
        <v>116570.66666666666</v>
      </c>
      <c r="Q27" s="10">
        <f t="shared" si="18"/>
        <v>121825.33333333333</v>
      </c>
      <c r="R27" s="10">
        <f t="shared" si="18"/>
        <v>127080</v>
      </c>
    </row>
    <row r="28" spans="1:19" x14ac:dyDescent="0.3">
      <c r="A28" s="60" t="s">
        <v>39</v>
      </c>
      <c r="B28" s="60"/>
      <c r="C28" s="60"/>
      <c r="D28" s="60"/>
      <c r="H28" s="23">
        <f>SUM(H9:H25)</f>
        <v>75059.583333333328</v>
      </c>
      <c r="I28" s="10">
        <f>SUM(I9:I25)*(1+'Data input'!$D$23/100)^I4</f>
        <v>80585.87999999999</v>
      </c>
      <c r="J28" s="10">
        <f>SUM(J9:J25)*(1+'Data input'!$D$23/100)^J4</f>
        <v>86752.02426666666</v>
      </c>
      <c r="K28" s="10">
        <f>SUM(K9:K25)*(1+'Data input'!$D$23/100)^K4</f>
        <v>93033.432830666658</v>
      </c>
      <c r="L28" s="10">
        <f>SUM(L9:L25)*(1+'Data input'!$D$23/100)^L4</f>
        <v>99431.794363519992</v>
      </c>
      <c r="M28" s="10">
        <f>SUM(M9:M25)*(1+'Data input'!$D$23/100)^M4</f>
        <v>105948.81978374731</v>
      </c>
      <c r="N28" s="10">
        <f>SUM(N9:N25)*(1+'Data input'!$D$23/100)^N4</f>
        <v>112586.24253294287</v>
      </c>
      <c r="O28" s="10">
        <f>SUM(O9:O25)*(1+'Data input'!$D$23/100)^O4</f>
        <v>119345.81885514391</v>
      </c>
      <c r="P28" s="10">
        <f>SUM(P9:P25)*(1+'Data input'!$D$23/100)^P4</f>
        <v>126229.32807953573</v>
      </c>
      <c r="Q28" s="10">
        <f>SUM(Q9:Q25)*(1+'Data input'!$D$23/100)^Q4</f>
        <v>133238.57290652985</v>
      </c>
      <c r="R28" s="10">
        <f>SUM(R9:R25)*(1+'Data input'!$D$23/100)^R4</f>
        <v>140375.37969725591</v>
      </c>
      <c r="S28" s="10"/>
    </row>
    <row r="29" spans="1:19" x14ac:dyDescent="0.3">
      <c r="A29" s="8"/>
      <c r="B29" s="8"/>
      <c r="C29" s="8"/>
      <c r="D29" s="8"/>
      <c r="E29" s="8"/>
      <c r="H29" s="2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3">
      <c r="A30" t="s">
        <v>105</v>
      </c>
      <c r="G30" s="23"/>
      <c r="H30" s="23">
        <f>'Data input'!D33</f>
        <v>76206</v>
      </c>
      <c r="I30" s="10">
        <f>H30*(1+ 'Data input'!$D$22/100)+$O$39</f>
        <v>77093.06</v>
      </c>
      <c r="J30" s="10">
        <f>I30*(1+ 'Data input'!$D$22/100)+$O$39</f>
        <v>77988.990600000005</v>
      </c>
      <c r="K30" s="10">
        <f>J30*(1+ 'Data input'!$D$22/100)+$O$39</f>
        <v>78893.880506000001</v>
      </c>
      <c r="L30" s="10">
        <f>K30*(1+ 'Data input'!$D$22/100)+$O$39</f>
        <v>79807.819311059997</v>
      </c>
      <c r="M30" s="10">
        <f>L30*(1+ 'Data input'!$D$22/100)+$O$39</f>
        <v>80730.8975041706</v>
      </c>
      <c r="N30" s="10">
        <f>M30*(1+ 'Data input'!$D$22/100)+$O$39</f>
        <v>81663.206479212313</v>
      </c>
      <c r="O30" s="10">
        <f>N30*(1+ 'Data input'!$D$22/100)+$O$39</f>
        <v>82604.838544004437</v>
      </c>
      <c r="P30" s="10">
        <f>O30*(1+ 'Data input'!$D$22/100)+$O$39</f>
        <v>83555.886929444488</v>
      </c>
      <c r="Q30" s="10">
        <f>P30*(1+ 'Data input'!$D$22/100)+$O$39</f>
        <v>84516.445798738932</v>
      </c>
      <c r="R30" s="10">
        <f>Q30*(1+ 'Data input'!$D$22/100)+$O$39</f>
        <v>85486.61025672633</v>
      </c>
      <c r="S30" s="10"/>
    </row>
    <row r="31" spans="1:19" x14ac:dyDescent="0.3">
      <c r="A31" t="s">
        <v>40</v>
      </c>
      <c r="H31" s="23">
        <f>H28-H30</f>
        <v>-1146.4166666666715</v>
      </c>
      <c r="I31" s="10">
        <f>I27-I30</f>
        <v>2694.9399999999878</v>
      </c>
      <c r="J31" s="10">
        <f t="shared" ref="J31:R31" si="19">J27-J30</f>
        <v>7053.6760666666523</v>
      </c>
      <c r="K31" s="10">
        <f t="shared" si="19"/>
        <v>11403.452827333327</v>
      </c>
      <c r="L31" s="10">
        <f t="shared" si="19"/>
        <v>15744.180688939989</v>
      </c>
      <c r="M31" s="10">
        <f t="shared" si="19"/>
        <v>20075.769162496057</v>
      </c>
      <c r="N31" s="10">
        <f t="shared" si="19"/>
        <v>24398.126854121016</v>
      </c>
      <c r="O31" s="10">
        <f t="shared" si="19"/>
        <v>28711.161455995563</v>
      </c>
      <c r="P31" s="10">
        <f t="shared" si="19"/>
        <v>33014.779737222168</v>
      </c>
      <c r="Q31" s="10">
        <f t="shared" si="19"/>
        <v>37308.887534594396</v>
      </c>
      <c r="R31" s="10">
        <f t="shared" si="19"/>
        <v>41593.38974327367</v>
      </c>
      <c r="S31" s="10"/>
    </row>
    <row r="32" spans="1:19" x14ac:dyDescent="0.3">
      <c r="A32" t="s">
        <v>41</v>
      </c>
      <c r="H32" s="23">
        <f>H31/('Data input'!$L$8+'Data input'!$L$9/2)</f>
        <v>-18.197089947090024</v>
      </c>
      <c r="I32" s="10">
        <f>I31/('Data input'!$L$8+'Data input'!$L$9/2)</f>
        <v>42.776825396825203</v>
      </c>
      <c r="J32" s="10">
        <f>J31/('Data input'!$L$8+'Data input'!$L$9/2)</f>
        <v>111.96311216931194</v>
      </c>
      <c r="K32" s="10">
        <f>K31/('Data input'!$L$8+'Data input'!$L$9/2)</f>
        <v>181.00718773544963</v>
      </c>
      <c r="L32" s="10">
        <f>L31/('Data input'!$L$8+'Data input'!$L$9/2)</f>
        <v>249.90762998317442</v>
      </c>
      <c r="M32" s="10">
        <f>M31/('Data input'!$L$8+'Data input'!$L$9/2)</f>
        <v>318.66300257930249</v>
      </c>
      <c r="N32" s="10">
        <f>N31/('Data input'!$L$8+'Data input'!$L$9/2)</f>
        <v>387.27185482731772</v>
      </c>
      <c r="O32" s="10">
        <f>O31/('Data input'!$L$8+'Data input'!$L$9/2)</f>
        <v>455.73272152373909</v>
      </c>
      <c r="P32" s="10">
        <f>P31/('Data input'!$L$8+'Data input'!$L$9/2)</f>
        <v>524.04412281305031</v>
      </c>
      <c r="Q32" s="10">
        <f>Q31/('Data input'!$L$8+'Data input'!$L$9/2)</f>
        <v>592.2045640411809</v>
      </c>
      <c r="R32" s="10">
        <f>R31/('Data input'!$L$8+'Data input'!$L$9/2)</f>
        <v>660.21253560751859</v>
      </c>
      <c r="S32" s="10"/>
    </row>
    <row r="33" spans="1:19" x14ac:dyDescent="0.3">
      <c r="A33" s="8" t="s">
        <v>42</v>
      </c>
      <c r="B33" s="8"/>
      <c r="C33" s="8"/>
      <c r="D33" s="8"/>
      <c r="E33" s="23"/>
      <c r="H33" s="23">
        <f>100*H30/H28</f>
        <v>101.52734216705618</v>
      </c>
      <c r="I33" s="10">
        <f>100*I30/I28</f>
        <v>95.665717120666812</v>
      </c>
      <c r="J33" s="10">
        <f>100*J30/J28</f>
        <v>89.898755976310127</v>
      </c>
      <c r="K33" s="10">
        <f t="shared" ref="K33:R33" si="20">100*K30/K28</f>
        <v>84.801643995656335</v>
      </c>
      <c r="L33" s="10">
        <f t="shared" si="20"/>
        <v>80.263883219571326</v>
      </c>
      <c r="M33" s="10">
        <f t="shared" si="20"/>
        <v>76.198014917911181</v>
      </c>
      <c r="N33" s="10">
        <f t="shared" si="20"/>
        <v>72.533912351962158</v>
      </c>
      <c r="O33" s="10">
        <f t="shared" si="20"/>
        <v>69.214689996191765</v>
      </c>
      <c r="P33" s="10">
        <f t="shared" si="20"/>
        <v>66.193719162314508</v>
      </c>
      <c r="Q33" s="10">
        <f t="shared" si="20"/>
        <v>63.432415970132993</v>
      </c>
      <c r="R33" s="10">
        <f t="shared" si="20"/>
        <v>60.89857811326543</v>
      </c>
      <c r="S33" s="10"/>
    </row>
    <row r="35" spans="1:19" x14ac:dyDescent="0.3">
      <c r="A35" s="47" t="s">
        <v>43</v>
      </c>
      <c r="B35" s="47"/>
      <c r="C35" s="47"/>
      <c r="D35" s="33">
        <f>('Data input'!K8*'Data input'!L8+'Data input'!K9*'Data input'!L9)*4</f>
        <v>50400</v>
      </c>
      <c r="E35" s="2"/>
      <c r="F35" s="9"/>
      <c r="G35" s="9"/>
    </row>
    <row r="36" spans="1:19" x14ac:dyDescent="0.3">
      <c r="B36" s="2"/>
      <c r="C36" s="2"/>
      <c r="D36" s="2"/>
      <c r="E36" s="2"/>
      <c r="F36" s="9"/>
      <c r="G36" s="9"/>
      <c r="H36" s="2"/>
      <c r="I36" s="2"/>
      <c r="J36" s="2"/>
      <c r="K36" s="11"/>
    </row>
    <row r="37" spans="1:19" x14ac:dyDescent="0.3">
      <c r="K37" s="9"/>
    </row>
    <row r="38" spans="1:19" ht="15" thickBot="1" x14ac:dyDescent="0.35">
      <c r="A38" s="60" t="s">
        <v>109</v>
      </c>
      <c r="B38" s="60"/>
      <c r="C38" s="60"/>
      <c r="F38" s="9"/>
    </row>
    <row r="39" spans="1:19" x14ac:dyDescent="0.3">
      <c r="B39" s="47" t="s">
        <v>53</v>
      </c>
      <c r="C39" s="47"/>
      <c r="D39" s="2">
        <f>'Data input'!D30</f>
        <v>37150</v>
      </c>
      <c r="F39" s="47" t="s">
        <v>54</v>
      </c>
      <c r="G39" s="47"/>
      <c r="H39" s="47"/>
      <c r="I39">
        <f>SUM(D39:D43)</f>
        <v>50275</v>
      </c>
      <c r="K39" s="56" t="s">
        <v>44</v>
      </c>
      <c r="L39" s="57"/>
      <c r="M39" s="57"/>
      <c r="N39" s="57"/>
      <c r="O39" s="54">
        <f>D35-I39</f>
        <v>125</v>
      </c>
    </row>
    <row r="40" spans="1:19" ht="15" thickBot="1" x14ac:dyDescent="0.35">
      <c r="C40" s="2" t="s">
        <v>66</v>
      </c>
      <c r="D40" s="34">
        <v>6425</v>
      </c>
      <c r="F40" s="9"/>
      <c r="K40" s="58"/>
      <c r="L40" s="59"/>
      <c r="M40" s="59"/>
      <c r="N40" s="59"/>
      <c r="O40" s="55"/>
    </row>
    <row r="41" spans="1:19" x14ac:dyDescent="0.3">
      <c r="B41" s="47" t="s">
        <v>48</v>
      </c>
      <c r="C41" s="47"/>
      <c r="D41" s="34">
        <v>2600</v>
      </c>
      <c r="F41" s="9"/>
    </row>
    <row r="42" spans="1:19" x14ac:dyDescent="0.3">
      <c r="B42" s="47" t="s">
        <v>50</v>
      </c>
      <c r="C42" s="47"/>
      <c r="D42" s="34">
        <v>1100</v>
      </c>
      <c r="F42" s="9"/>
    </row>
    <row r="43" spans="1:19" x14ac:dyDescent="0.3">
      <c r="B43" s="47" t="s">
        <v>67</v>
      </c>
      <c r="C43" s="47"/>
      <c r="D43" s="34">
        <v>3000</v>
      </c>
      <c r="H43" s="2"/>
      <c r="I43" s="2"/>
    </row>
    <row r="44" spans="1:19" x14ac:dyDescent="0.3">
      <c r="B44" s="2"/>
      <c r="C44" s="2"/>
      <c r="D44" s="2"/>
      <c r="E44" s="2"/>
    </row>
    <row r="45" spans="1:19" x14ac:dyDescent="0.3">
      <c r="A45" t="s">
        <v>95</v>
      </c>
    </row>
    <row r="46" spans="1:19" x14ac:dyDescent="0.3">
      <c r="A46" s="13"/>
    </row>
    <row r="47" spans="1:19" x14ac:dyDescent="0.3">
      <c r="E47" s="2"/>
    </row>
    <row r="48" spans="1:19" x14ac:dyDescent="0.3">
      <c r="E48" s="12"/>
      <c r="H48" s="10"/>
      <c r="I48" s="7"/>
      <c r="J48" s="7"/>
    </row>
    <row r="49" spans="5:10" x14ac:dyDescent="0.3">
      <c r="E49" s="9"/>
      <c r="H49" s="10"/>
      <c r="I49" s="7"/>
      <c r="J49" s="7"/>
    </row>
  </sheetData>
  <sheetProtection selectLockedCells="1"/>
  <mergeCells count="21">
    <mergeCell ref="A9:B9"/>
    <mergeCell ref="B39:C39"/>
    <mergeCell ref="B41:C41"/>
    <mergeCell ref="B42:C42"/>
    <mergeCell ref="B43:C43"/>
    <mergeCell ref="A14:B14"/>
    <mergeCell ref="A15:B15"/>
    <mergeCell ref="A16:B16"/>
    <mergeCell ref="A28:D28"/>
    <mergeCell ref="G4:H4"/>
    <mergeCell ref="G5:H5"/>
    <mergeCell ref="C6:D6"/>
    <mergeCell ref="H6:R7"/>
    <mergeCell ref="E1:J2"/>
    <mergeCell ref="K1:L2"/>
    <mergeCell ref="M1:M2"/>
    <mergeCell ref="O39:O40"/>
    <mergeCell ref="A35:C35"/>
    <mergeCell ref="K39:N40"/>
    <mergeCell ref="F39:H39"/>
    <mergeCell ref="A38:C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8"/>
  <sheetViews>
    <sheetView workbookViewId="0">
      <selection activeCell="U17" sqref="U17"/>
    </sheetView>
  </sheetViews>
  <sheetFormatPr defaultRowHeight="14.4" x14ac:dyDescent="0.3"/>
  <cols>
    <col min="1" max="1" width="6.88671875" customWidth="1"/>
    <col min="2" max="2" width="9.6640625" customWidth="1"/>
    <col min="4" max="4" width="7.88671875" customWidth="1"/>
  </cols>
  <sheetData>
    <row r="1" spans="1:19" ht="15" customHeight="1" x14ac:dyDescent="0.3">
      <c r="F1" s="50" t="s">
        <v>73</v>
      </c>
      <c r="G1" s="50"/>
      <c r="H1" s="50"/>
      <c r="I1" s="50"/>
      <c r="J1" s="50" t="str">
        <f>'Data input'!H4</f>
        <v xml:space="preserve">June </v>
      </c>
      <c r="K1" s="50"/>
      <c r="L1" s="50">
        <f>'Data input'!D4</f>
        <v>2019</v>
      </c>
    </row>
    <row r="2" spans="1:19" x14ac:dyDescent="0.3">
      <c r="F2" s="50"/>
      <c r="G2" s="50"/>
      <c r="H2" s="50"/>
      <c r="I2" s="50"/>
      <c r="J2" s="50"/>
      <c r="K2" s="50"/>
      <c r="L2" s="50"/>
    </row>
    <row r="4" spans="1:19" x14ac:dyDescent="0.3">
      <c r="G4" s="61" t="s">
        <v>1</v>
      </c>
      <c r="H4" s="61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61">
        <f>L1</f>
        <v>2019</v>
      </c>
      <c r="H5" s="61"/>
      <c r="I5" s="1">
        <f>G5+1</f>
        <v>2020</v>
      </c>
      <c r="J5" s="1">
        <f>I5+1</f>
        <v>2021</v>
      </c>
      <c r="K5" s="1">
        <f t="shared" ref="K5:M5" si="1">J5+1</f>
        <v>2022</v>
      </c>
      <c r="L5" s="1">
        <f t="shared" si="1"/>
        <v>2023</v>
      </c>
      <c r="M5" s="1">
        <f t="shared" si="1"/>
        <v>2024</v>
      </c>
      <c r="N5" s="1">
        <f t="shared" si="0"/>
        <v>2025</v>
      </c>
      <c r="O5" s="1">
        <f t="shared" si="0"/>
        <v>2026</v>
      </c>
      <c r="P5" s="1">
        <f t="shared" si="0"/>
        <v>2027</v>
      </c>
      <c r="Q5" s="1">
        <f t="shared" si="0"/>
        <v>2028</v>
      </c>
      <c r="R5" s="1">
        <f t="shared" si="0"/>
        <v>2029</v>
      </c>
      <c r="S5" s="1"/>
    </row>
    <row r="6" spans="1:19" ht="15" customHeight="1" x14ac:dyDescent="0.3">
      <c r="C6" s="52" t="s">
        <v>15</v>
      </c>
      <c r="D6" s="52"/>
      <c r="E6" t="s">
        <v>65</v>
      </c>
      <c r="F6" s="1" t="s">
        <v>17</v>
      </c>
      <c r="G6" s="26" t="s">
        <v>18</v>
      </c>
      <c r="H6" s="63" t="s">
        <v>128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20"/>
    </row>
    <row r="7" spans="1:19" ht="15" customHeight="1" x14ac:dyDescent="0.3">
      <c r="E7" s="1" t="s">
        <v>21</v>
      </c>
      <c r="F7" s="1" t="s">
        <v>22</v>
      </c>
      <c r="G7" s="26" t="s">
        <v>23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20"/>
    </row>
    <row r="8" spans="1:19" x14ac:dyDescent="0.3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9" x14ac:dyDescent="0.3">
      <c r="A9" s="52" t="s">
        <v>55</v>
      </c>
      <c r="B9" s="52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3">
      <c r="B10" s="2" t="s">
        <v>34</v>
      </c>
      <c r="C10" s="15">
        <v>1700</v>
      </c>
      <c r="D10" t="s">
        <v>26</v>
      </c>
      <c r="E10" s="11">
        <f>C10*'Data input'!D9</f>
        <v>12750</v>
      </c>
      <c r="F10" s="11">
        <v>30</v>
      </c>
      <c r="G10" s="9">
        <f>19+$G$5-2019</f>
        <v>19</v>
      </c>
      <c r="H10" s="23">
        <f>$E$10*$G$10/$F$10</f>
        <v>8075</v>
      </c>
      <c r="I10" s="10">
        <f>$E$10*($G$10+I4)/$F$10</f>
        <v>8500</v>
      </c>
      <c r="J10" s="10">
        <f>$E$10*($G$10+J4)/$F$10</f>
        <v>8925</v>
      </c>
      <c r="K10" s="10">
        <f t="shared" ref="K10:R10" si="2">$E$10*($G$10+K4)/$F$10</f>
        <v>9350</v>
      </c>
      <c r="L10" s="10">
        <f t="shared" si="2"/>
        <v>9775</v>
      </c>
      <c r="M10" s="10">
        <f t="shared" si="2"/>
        <v>10200</v>
      </c>
      <c r="N10" s="10">
        <f t="shared" si="2"/>
        <v>10625</v>
      </c>
      <c r="O10" s="10">
        <f t="shared" si="2"/>
        <v>11050</v>
      </c>
      <c r="P10" s="10">
        <f t="shared" si="2"/>
        <v>11475</v>
      </c>
      <c r="Q10" s="10">
        <f t="shared" si="2"/>
        <v>11900</v>
      </c>
      <c r="R10" s="10">
        <f t="shared" si="2"/>
        <v>12325</v>
      </c>
      <c r="S10" s="10"/>
    </row>
    <row r="11" spans="1:19" x14ac:dyDescent="0.3">
      <c r="B11" s="2" t="s">
        <v>29</v>
      </c>
      <c r="C11" s="15">
        <v>3000</v>
      </c>
      <c r="D11" t="s">
        <v>26</v>
      </c>
      <c r="E11" s="11">
        <f>C11*'Data input'!D10</f>
        <v>18000</v>
      </c>
      <c r="F11" s="11">
        <v>25</v>
      </c>
      <c r="G11" s="9">
        <f>20+$G$5-2019</f>
        <v>20</v>
      </c>
      <c r="H11" s="23">
        <f>$E$11*$G$11/$F$11</f>
        <v>14400</v>
      </c>
      <c r="I11" s="10">
        <f>$E$11*($G$11+I4)/$F$11</f>
        <v>15120</v>
      </c>
      <c r="J11" s="10">
        <f t="shared" ref="J11:R11" si="3">$E$11*($G$11+J4)/$F$11</f>
        <v>15840</v>
      </c>
      <c r="K11" s="10">
        <f t="shared" si="3"/>
        <v>16560</v>
      </c>
      <c r="L11" s="10">
        <f t="shared" si="3"/>
        <v>17280</v>
      </c>
      <c r="M11" s="10">
        <f t="shared" si="3"/>
        <v>18000</v>
      </c>
      <c r="N11" s="10">
        <f t="shared" si="3"/>
        <v>18720</v>
      </c>
      <c r="O11" s="10">
        <f t="shared" si="3"/>
        <v>19440</v>
      </c>
      <c r="P11" s="10">
        <f t="shared" si="3"/>
        <v>20160</v>
      </c>
      <c r="Q11" s="10">
        <f t="shared" si="3"/>
        <v>20880</v>
      </c>
      <c r="R11" s="10">
        <f t="shared" si="3"/>
        <v>21600</v>
      </c>
    </row>
    <row r="12" spans="1:19" x14ac:dyDescent="0.3">
      <c r="B12" s="2" t="s">
        <v>99</v>
      </c>
      <c r="C12" s="15">
        <v>3400</v>
      </c>
      <c r="D12" t="s">
        <v>26</v>
      </c>
      <c r="E12" s="11">
        <f>C12*'Data input'!D8</f>
        <v>6800</v>
      </c>
      <c r="F12" s="11">
        <v>8</v>
      </c>
      <c r="G12" s="9">
        <f>3+$G$5-2019</f>
        <v>3</v>
      </c>
      <c r="H12" s="23">
        <f>$E$12*$G$12/$F$12</f>
        <v>2550</v>
      </c>
      <c r="I12" s="10">
        <f>$E$12*(2+I4)/$F$12</f>
        <v>2550</v>
      </c>
      <c r="J12" s="10">
        <f t="shared" ref="J12:R12" si="4">$E$12*(2+J4)/$F$12</f>
        <v>3400</v>
      </c>
      <c r="K12" s="10">
        <f t="shared" si="4"/>
        <v>4250</v>
      </c>
      <c r="L12" s="10">
        <f t="shared" si="4"/>
        <v>5100</v>
      </c>
      <c r="M12" s="10">
        <f t="shared" si="4"/>
        <v>5950</v>
      </c>
      <c r="N12" s="10">
        <f t="shared" si="4"/>
        <v>6800</v>
      </c>
      <c r="O12" s="10">
        <f t="shared" si="4"/>
        <v>7650</v>
      </c>
      <c r="P12" s="10">
        <f t="shared" si="4"/>
        <v>8500</v>
      </c>
      <c r="Q12" s="10">
        <f t="shared" si="4"/>
        <v>9350</v>
      </c>
      <c r="R12" s="10">
        <f t="shared" si="4"/>
        <v>10200</v>
      </c>
    </row>
    <row r="13" spans="1:19" x14ac:dyDescent="0.3">
      <c r="B13" s="2" t="s">
        <v>4</v>
      </c>
      <c r="C13" s="15">
        <v>310</v>
      </c>
      <c r="D13" t="s">
        <v>56</v>
      </c>
      <c r="E13" s="11">
        <f>C13*'Data input'!D11</f>
        <v>3410</v>
      </c>
      <c r="F13" s="11">
        <v>25</v>
      </c>
      <c r="G13" s="9">
        <f>20+$G$5-2019</f>
        <v>20</v>
      </c>
      <c r="H13" s="23">
        <f>$E$13*$G$13/$F$13</f>
        <v>2728</v>
      </c>
      <c r="I13" s="10">
        <f>$E$13*($G$13+I4)/$F$13</f>
        <v>2864.4</v>
      </c>
      <c r="J13" s="10">
        <f t="shared" ref="J13:R13" si="5">$E$13*($G$13+J4)/$F$13</f>
        <v>3000.8</v>
      </c>
      <c r="K13" s="10">
        <f t="shared" si="5"/>
        <v>3137.2</v>
      </c>
      <c r="L13" s="10">
        <f t="shared" si="5"/>
        <v>3273.6</v>
      </c>
      <c r="M13" s="10">
        <f t="shared" si="5"/>
        <v>3410</v>
      </c>
      <c r="N13" s="10">
        <f t="shared" si="5"/>
        <v>3546.4</v>
      </c>
      <c r="O13" s="10">
        <f t="shared" si="5"/>
        <v>3682.8</v>
      </c>
      <c r="P13" s="10">
        <f t="shared" si="5"/>
        <v>3819.2</v>
      </c>
      <c r="Q13" s="10">
        <f t="shared" si="5"/>
        <v>3955.6</v>
      </c>
      <c r="R13" s="10">
        <f t="shared" si="5"/>
        <v>4092</v>
      </c>
    </row>
    <row r="14" spans="1:19" x14ac:dyDescent="0.3">
      <c r="B14" s="2" t="s">
        <v>32</v>
      </c>
      <c r="E14" s="11">
        <v>2000</v>
      </c>
      <c r="F14" s="11">
        <v>40</v>
      </c>
      <c r="G14" s="9">
        <f>7+$G$5-2019</f>
        <v>7</v>
      </c>
      <c r="H14" s="23">
        <f>$E$14*$G$14/$F$14</f>
        <v>350</v>
      </c>
      <c r="I14" s="10">
        <f>$E$14*($G$14+I4)/$F$14</f>
        <v>400</v>
      </c>
      <c r="J14" s="10">
        <f t="shared" ref="J14:R14" si="6">$E$14*($G$14+J4)/$F$14</f>
        <v>450</v>
      </c>
      <c r="K14" s="10">
        <f t="shared" si="6"/>
        <v>500</v>
      </c>
      <c r="L14" s="10">
        <f t="shared" si="6"/>
        <v>550</v>
      </c>
      <c r="M14" s="10">
        <f t="shared" si="6"/>
        <v>600</v>
      </c>
      <c r="N14" s="10">
        <f t="shared" si="6"/>
        <v>650</v>
      </c>
      <c r="O14" s="10">
        <f t="shared" si="6"/>
        <v>700</v>
      </c>
      <c r="P14" s="10">
        <f t="shared" si="6"/>
        <v>750</v>
      </c>
      <c r="Q14" s="10">
        <f t="shared" si="6"/>
        <v>800</v>
      </c>
      <c r="R14" s="10">
        <f t="shared" si="6"/>
        <v>850</v>
      </c>
    </row>
    <row r="15" spans="1:19" x14ac:dyDescent="0.3">
      <c r="B15" s="2"/>
      <c r="E15" s="11"/>
      <c r="F15" s="11"/>
      <c r="G15" s="9"/>
      <c r="H15" s="23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9" x14ac:dyDescent="0.3">
      <c r="A16" s="47" t="s">
        <v>69</v>
      </c>
      <c r="B16" s="47"/>
      <c r="C16" s="1">
        <v>10362</v>
      </c>
      <c r="D16" t="s">
        <v>26</v>
      </c>
      <c r="E16" s="11">
        <v>13574</v>
      </c>
      <c r="F16" s="11">
        <v>20</v>
      </c>
      <c r="G16" s="9">
        <f>3+$G$5-2019</f>
        <v>3</v>
      </c>
      <c r="H16" s="23">
        <f>$E$16*$G$16/$F$16</f>
        <v>2036.1</v>
      </c>
      <c r="I16" s="10">
        <f>$E$16*(I4+$G$16)/$F$16</f>
        <v>2714.8</v>
      </c>
      <c r="J16" s="10">
        <f t="shared" ref="J16:R16" si="7">$E$16*(J4+$G$16)/$F$16</f>
        <v>3393.5</v>
      </c>
      <c r="K16" s="10">
        <f t="shared" si="7"/>
        <v>4072.2</v>
      </c>
      <c r="L16" s="10">
        <f t="shared" si="7"/>
        <v>4750.8999999999996</v>
      </c>
      <c r="M16" s="10">
        <f t="shared" si="7"/>
        <v>5429.6</v>
      </c>
      <c r="N16" s="10">
        <f t="shared" si="7"/>
        <v>6108.3</v>
      </c>
      <c r="O16" s="10">
        <f t="shared" si="7"/>
        <v>6787</v>
      </c>
      <c r="P16" s="10">
        <f t="shared" si="7"/>
        <v>7465.7</v>
      </c>
      <c r="Q16" s="10">
        <f t="shared" si="7"/>
        <v>8144.4</v>
      </c>
      <c r="R16" s="10">
        <f t="shared" si="7"/>
        <v>8823.1</v>
      </c>
      <c r="S16" s="10"/>
    </row>
    <row r="17" spans="1:19" x14ac:dyDescent="0.3">
      <c r="A17" s="47" t="s">
        <v>57</v>
      </c>
      <c r="B17" s="47"/>
      <c r="C17" s="1">
        <v>1062</v>
      </c>
      <c r="D17" t="s">
        <v>56</v>
      </c>
      <c r="E17" s="11">
        <f>C17*'Data input'!D12</f>
        <v>14868</v>
      </c>
      <c r="F17" s="11">
        <v>30</v>
      </c>
      <c r="G17" s="9">
        <f>10+$G$5-2019</f>
        <v>10</v>
      </c>
      <c r="H17" s="23">
        <f>$E$17*$G$17/$F$17</f>
        <v>4956</v>
      </c>
      <c r="I17" s="10">
        <f t="shared" ref="I17:R17" si="8">$E$17*($G$17+I4)/$F$17</f>
        <v>5451.6</v>
      </c>
      <c r="J17" s="10">
        <f t="shared" si="8"/>
        <v>5947.2</v>
      </c>
      <c r="K17" s="10">
        <f t="shared" si="8"/>
        <v>6442.8</v>
      </c>
      <c r="L17" s="10">
        <f t="shared" si="8"/>
        <v>6938.4</v>
      </c>
      <c r="M17" s="10">
        <f t="shared" si="8"/>
        <v>7434</v>
      </c>
      <c r="N17" s="10">
        <f t="shared" si="8"/>
        <v>7929.6</v>
      </c>
      <c r="O17" s="10">
        <f t="shared" si="8"/>
        <v>8425.2000000000007</v>
      </c>
      <c r="P17" s="10">
        <f t="shared" si="8"/>
        <v>8920.7999999999993</v>
      </c>
      <c r="Q17" s="10">
        <f t="shared" si="8"/>
        <v>9416.4</v>
      </c>
      <c r="R17" s="10">
        <f t="shared" si="8"/>
        <v>9912</v>
      </c>
      <c r="S17" s="10"/>
    </row>
    <row r="18" spans="1:19" x14ac:dyDescent="0.3">
      <c r="A18" s="47" t="s">
        <v>58</v>
      </c>
      <c r="B18" s="47"/>
      <c r="C18" s="1">
        <v>13</v>
      </c>
      <c r="D18" t="s">
        <v>68</v>
      </c>
      <c r="E18" s="11">
        <f>C18*'Data input'!D19</f>
        <v>1560</v>
      </c>
      <c r="F18" s="11">
        <v>15</v>
      </c>
      <c r="G18" s="9">
        <f>9+$G$5-2019</f>
        <v>9</v>
      </c>
      <c r="H18" s="23">
        <f>$E$18*$G$18/$F$18</f>
        <v>936</v>
      </c>
      <c r="I18" s="10">
        <f t="shared" ref="I18:R18" si="9">$E$18*($G$18+I4)/$F$18</f>
        <v>1040</v>
      </c>
      <c r="J18" s="10">
        <f t="shared" si="9"/>
        <v>1144</v>
      </c>
      <c r="K18" s="10">
        <f t="shared" si="9"/>
        <v>1248</v>
      </c>
      <c r="L18" s="10">
        <f t="shared" si="9"/>
        <v>1352</v>
      </c>
      <c r="M18" s="10">
        <f t="shared" si="9"/>
        <v>1456</v>
      </c>
      <c r="N18" s="10">
        <f t="shared" si="9"/>
        <v>1560</v>
      </c>
      <c r="O18" s="10">
        <f t="shared" si="9"/>
        <v>1664</v>
      </c>
      <c r="P18" s="10">
        <f t="shared" si="9"/>
        <v>1768</v>
      </c>
      <c r="Q18" s="10">
        <f t="shared" si="9"/>
        <v>1872</v>
      </c>
      <c r="R18" s="10">
        <f t="shared" si="9"/>
        <v>1976</v>
      </c>
      <c r="S18" s="10"/>
    </row>
    <row r="19" spans="1:19" x14ac:dyDescent="0.3">
      <c r="E19" s="9"/>
      <c r="F19" s="9"/>
      <c r="G19" s="9"/>
      <c r="H19" s="23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3">
      <c r="A20" t="s">
        <v>38</v>
      </c>
      <c r="E20" s="8"/>
      <c r="H20" s="23">
        <f t="shared" ref="H20:R20" si="10">SUM(H9:H18)</f>
        <v>36031.1</v>
      </c>
      <c r="I20" s="10">
        <f t="shared" si="10"/>
        <v>38640.800000000003</v>
      </c>
      <c r="J20" s="10">
        <f t="shared" si="10"/>
        <v>42100.5</v>
      </c>
      <c r="K20" s="10">
        <f t="shared" si="10"/>
        <v>45560.2</v>
      </c>
      <c r="L20" s="10">
        <f t="shared" si="10"/>
        <v>49019.9</v>
      </c>
      <c r="M20" s="10">
        <f t="shared" si="10"/>
        <v>52479.6</v>
      </c>
      <c r="N20" s="10">
        <f t="shared" si="10"/>
        <v>55939.3</v>
      </c>
      <c r="O20" s="10">
        <f t="shared" si="10"/>
        <v>59399</v>
      </c>
      <c r="P20" s="10">
        <f t="shared" si="10"/>
        <v>62858.7</v>
      </c>
      <c r="Q20" s="10">
        <f t="shared" si="10"/>
        <v>66318.399999999994</v>
      </c>
      <c r="R20" s="10">
        <f t="shared" si="10"/>
        <v>69778.100000000006</v>
      </c>
      <c r="S20" s="10"/>
    </row>
    <row r="21" spans="1:19" x14ac:dyDescent="0.3">
      <c r="A21" t="s">
        <v>59</v>
      </c>
      <c r="H21" s="23">
        <f>SUM(H9:H18)</f>
        <v>36031.1</v>
      </c>
      <c r="I21" s="10">
        <f>I20*(1+'Data input'!$D$23/100)^I4</f>
        <v>39027.208000000006</v>
      </c>
      <c r="J21" s="10">
        <f>J20*(1+'Data input'!$D$23/100)^J4</f>
        <v>42946.720050000004</v>
      </c>
      <c r="K21" s="10">
        <f>K20*(1+'Data input'!$D$23/100)^K4</f>
        <v>46940.71962019999</v>
      </c>
      <c r="L21" s="10">
        <f>L20*(1+'Data input'!$D$23/100)^L4</f>
        <v>51010.304509799003</v>
      </c>
      <c r="M21" s="10">
        <f>M20*(1+'Data input'!$D$23/100)^M4</f>
        <v>55156.587025227956</v>
      </c>
      <c r="N21" s="10">
        <f>N20*(1+'Data input'!$D$23/100)^N4</f>
        <v>59380.694160514533</v>
      </c>
      <c r="O21" s="10">
        <f>O20*(1+'Data input'!$D$23/100)^O4</f>
        <v>63683.767779804279</v>
      </c>
      <c r="P21" s="10">
        <f>P20*(1+'Data input'!$D$23/100)^P4</f>
        <v>68066.964802063798</v>
      </c>
      <c r="Q21" s="10">
        <f>Q20*(1+'Data input'!$D$23/100)^Q4</f>
        <v>72531.457387990522</v>
      </c>
      <c r="R21" s="10">
        <f>R20*(1+'Data input'!$D$23/100)^R4</f>
        <v>77078.433129155586</v>
      </c>
      <c r="S21" s="10"/>
    </row>
    <row r="22" spans="1:19" x14ac:dyDescent="0.3">
      <c r="A22" s="8"/>
      <c r="B22" s="8"/>
      <c r="C22" s="8"/>
      <c r="D22" s="8"/>
      <c r="E22" s="8"/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3">
      <c r="A23" t="s">
        <v>104</v>
      </c>
      <c r="E23" s="8"/>
      <c r="H23" s="23">
        <f>'Data input'!D34</f>
        <v>16508</v>
      </c>
      <c r="I23" s="10">
        <f>H23 +$P$29</f>
        <v>21108</v>
      </c>
      <c r="J23" s="10">
        <f>I23 +$P$29</f>
        <v>25708</v>
      </c>
      <c r="K23" s="10">
        <f t="shared" ref="K23:R23" si="11">J23 +$P$29</f>
        <v>30308</v>
      </c>
      <c r="L23" s="10">
        <f t="shared" si="11"/>
        <v>34908</v>
      </c>
      <c r="M23" s="10">
        <f t="shared" si="11"/>
        <v>39508</v>
      </c>
      <c r="N23" s="10">
        <f t="shared" si="11"/>
        <v>44108</v>
      </c>
      <c r="O23" s="10">
        <f t="shared" si="11"/>
        <v>48708</v>
      </c>
      <c r="P23" s="10">
        <f t="shared" si="11"/>
        <v>53308</v>
      </c>
      <c r="Q23" s="10">
        <f t="shared" si="11"/>
        <v>57908</v>
      </c>
      <c r="R23" s="10">
        <f t="shared" si="11"/>
        <v>62508</v>
      </c>
      <c r="S23" s="10"/>
    </row>
    <row r="24" spans="1:19" x14ac:dyDescent="0.3">
      <c r="A24" t="s">
        <v>40</v>
      </c>
      <c r="E24" s="8"/>
      <c r="H24" s="23">
        <f>H20-H23</f>
        <v>19523.099999999999</v>
      </c>
      <c r="I24" s="28">
        <f t="shared" ref="I24:R24" si="12">I20-I23</f>
        <v>17532.800000000003</v>
      </c>
      <c r="J24" s="28">
        <f t="shared" si="12"/>
        <v>16392.5</v>
      </c>
      <c r="K24" s="28">
        <f t="shared" si="12"/>
        <v>15252.199999999997</v>
      </c>
      <c r="L24" s="28">
        <f t="shared" si="12"/>
        <v>14111.900000000001</v>
      </c>
      <c r="M24" s="28">
        <f t="shared" si="12"/>
        <v>12971.599999999999</v>
      </c>
      <c r="N24" s="28">
        <f t="shared" si="12"/>
        <v>11831.300000000003</v>
      </c>
      <c r="O24" s="28">
        <f t="shared" si="12"/>
        <v>10691</v>
      </c>
      <c r="P24" s="28">
        <f t="shared" si="12"/>
        <v>9550.6999999999971</v>
      </c>
      <c r="Q24" s="28">
        <f t="shared" si="12"/>
        <v>8410.3999999999942</v>
      </c>
      <c r="R24" s="28">
        <f t="shared" si="12"/>
        <v>7270.1000000000058</v>
      </c>
      <c r="S24" s="10"/>
    </row>
    <row r="25" spans="1:19" x14ac:dyDescent="0.3">
      <c r="A25" t="s">
        <v>41</v>
      </c>
      <c r="E25" s="8"/>
      <c r="H25" s="23">
        <f>H24/'Data input'!$L$10</f>
        <v>1952.31</v>
      </c>
      <c r="I25" s="10">
        <f>I24/'Data input'!$L$10</f>
        <v>1753.2800000000002</v>
      </c>
      <c r="J25" s="10">
        <f>J24/'Data input'!$L$10</f>
        <v>1639.25</v>
      </c>
      <c r="K25" s="10">
        <f>K24/'Data input'!$L$10</f>
        <v>1525.2199999999998</v>
      </c>
      <c r="L25" s="10">
        <f>L24/'Data input'!$L$10</f>
        <v>1411.19</v>
      </c>
      <c r="M25" s="10">
        <f>M24/'Data input'!$L$10</f>
        <v>1297.1599999999999</v>
      </c>
      <c r="N25" s="10">
        <f>N24/'Data input'!$L$10</f>
        <v>1183.1300000000003</v>
      </c>
      <c r="O25" s="10">
        <f>O24/'Data input'!$L$10</f>
        <v>1069.0999999999999</v>
      </c>
      <c r="P25" s="10">
        <f>P24/'Data input'!$L$10</f>
        <v>955.06999999999971</v>
      </c>
      <c r="Q25" s="10">
        <f>Q24/'Data input'!$L$10</f>
        <v>841.0399999999994</v>
      </c>
      <c r="R25" s="10">
        <f>R24/'Data input'!$L$10</f>
        <v>727.01000000000056</v>
      </c>
      <c r="S25" s="10"/>
    </row>
    <row r="26" spans="1:19" x14ac:dyDescent="0.3">
      <c r="A26" s="8" t="s">
        <v>42</v>
      </c>
      <c r="B26" s="8"/>
      <c r="C26" s="8"/>
      <c r="D26" s="8"/>
      <c r="E26" s="8"/>
      <c r="H26" s="23">
        <f t="shared" ref="H26" si="13">100*H23/H21</f>
        <v>45.815975643263741</v>
      </c>
      <c r="I26" s="10">
        <f>100*I23/I20</f>
        <v>54.626198215357853</v>
      </c>
      <c r="J26" s="10">
        <f t="shared" ref="J26:L26" si="14">100*J23/J20</f>
        <v>61.063407798007148</v>
      </c>
      <c r="K26" s="10">
        <f t="shared" si="14"/>
        <v>66.522973999236186</v>
      </c>
      <c r="L26" s="10">
        <f t="shared" si="14"/>
        <v>71.211895577102354</v>
      </c>
      <c r="M26" s="10">
        <f>100*M23/M20</f>
        <v>75.28258599532009</v>
      </c>
      <c r="N26" s="10">
        <f t="shared" ref="N26:R26" si="15">100*N23/N20</f>
        <v>78.849753214645162</v>
      </c>
      <c r="O26" s="10">
        <f t="shared" si="15"/>
        <v>82.001380494621117</v>
      </c>
      <c r="P26" s="10">
        <f t="shared" si="15"/>
        <v>84.80608094026762</v>
      </c>
      <c r="Q26" s="10">
        <f t="shared" si="15"/>
        <v>87.318150015681937</v>
      </c>
      <c r="R26" s="10">
        <f t="shared" si="15"/>
        <v>89.581114991666439</v>
      </c>
      <c r="S26" s="10"/>
    </row>
    <row r="28" spans="1:19" ht="15" thickBot="1" x14ac:dyDescent="0.35">
      <c r="D28" s="47" t="s">
        <v>79</v>
      </c>
      <c r="E28" s="47"/>
      <c r="F28" s="47"/>
      <c r="G28" s="47"/>
      <c r="H28" s="1">
        <f>4*'Data input'!K10*'Data input'!L10</f>
        <v>5800</v>
      </c>
    </row>
    <row r="29" spans="1:19" x14ac:dyDescent="0.3">
      <c r="A29" s="47" t="s">
        <v>61</v>
      </c>
      <c r="B29" s="47"/>
      <c r="C29" s="47"/>
      <c r="D29" s="47"/>
      <c r="E29" s="47"/>
      <c r="F29" s="47"/>
      <c r="G29" s="47"/>
      <c r="H29" s="16">
        <v>1200</v>
      </c>
      <c r="K29" s="9"/>
      <c r="L29" s="56" t="s">
        <v>44</v>
      </c>
      <c r="M29" s="65"/>
      <c r="N29" s="65"/>
      <c r="O29" s="65"/>
      <c r="P29" s="54">
        <f>H28-H29</f>
        <v>4600</v>
      </c>
    </row>
    <row r="30" spans="1:19" ht="15" thickBot="1" x14ac:dyDescent="0.35">
      <c r="L30" s="66"/>
      <c r="M30" s="67"/>
      <c r="N30" s="67"/>
      <c r="O30" s="67"/>
      <c r="P30" s="55"/>
    </row>
    <row r="33" spans="2:8" x14ac:dyDescent="0.3">
      <c r="B33" s="13"/>
      <c r="C33" s="13"/>
      <c r="D33" s="13"/>
    </row>
    <row r="35" spans="2:8" x14ac:dyDescent="0.3">
      <c r="E35" s="2"/>
    </row>
    <row r="36" spans="2:8" x14ac:dyDescent="0.3">
      <c r="E36" s="9"/>
    </row>
    <row r="37" spans="2:8" x14ac:dyDescent="0.3">
      <c r="E37" s="9"/>
      <c r="H37" s="9"/>
    </row>
    <row r="38" spans="2:8" x14ac:dyDescent="0.3">
      <c r="G38" s="9"/>
    </row>
  </sheetData>
  <mergeCells count="15">
    <mergeCell ref="C6:D6"/>
    <mergeCell ref="P29:P30"/>
    <mergeCell ref="A9:B9"/>
    <mergeCell ref="A16:B16"/>
    <mergeCell ref="A17:B17"/>
    <mergeCell ref="A18:B18"/>
    <mergeCell ref="A29:G29"/>
    <mergeCell ref="L29:O30"/>
    <mergeCell ref="D28:G28"/>
    <mergeCell ref="F1:I2"/>
    <mergeCell ref="J1:K2"/>
    <mergeCell ref="L1:L2"/>
    <mergeCell ref="H6:R7"/>
    <mergeCell ref="G5:H5"/>
    <mergeCell ref="G4: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7"/>
  <sheetViews>
    <sheetView topLeftCell="A9" workbookViewId="0">
      <selection activeCell="E10" sqref="E10"/>
    </sheetView>
  </sheetViews>
  <sheetFormatPr defaultRowHeight="14.4" x14ac:dyDescent="0.3"/>
  <sheetData>
    <row r="1" spans="1:18" ht="15" customHeight="1" x14ac:dyDescent="0.3">
      <c r="F1" s="50" t="s">
        <v>124</v>
      </c>
      <c r="G1" s="50"/>
      <c r="H1" s="50"/>
      <c r="I1" s="50"/>
      <c r="J1" s="50"/>
      <c r="K1" s="50"/>
      <c r="L1" s="50" t="str">
        <f>'Data input'!H4</f>
        <v xml:space="preserve">June </v>
      </c>
      <c r="M1" s="50"/>
      <c r="N1" s="50">
        <f>'Data input'!D4</f>
        <v>2019</v>
      </c>
    </row>
    <row r="2" spans="1:18" x14ac:dyDescent="0.3">
      <c r="F2" s="50"/>
      <c r="G2" s="50"/>
      <c r="H2" s="50"/>
      <c r="I2" s="50"/>
      <c r="J2" s="50"/>
      <c r="K2" s="50"/>
      <c r="L2" s="50"/>
      <c r="M2" s="50"/>
      <c r="N2" s="50"/>
    </row>
    <row r="4" spans="1:18" x14ac:dyDescent="0.3">
      <c r="G4" s="61" t="s">
        <v>1</v>
      </c>
      <c r="H4" s="61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</row>
    <row r="5" spans="1:18" x14ac:dyDescent="0.3">
      <c r="E5" s="1" t="s">
        <v>14</v>
      </c>
      <c r="G5" s="61">
        <f>N1</f>
        <v>2019</v>
      </c>
      <c r="H5" s="61"/>
      <c r="I5" s="1">
        <f>G5+1</f>
        <v>2020</v>
      </c>
      <c r="J5" s="1">
        <f>I5+1</f>
        <v>2021</v>
      </c>
      <c r="K5" s="1">
        <f t="shared" ref="K5:M5" si="1">J5+1</f>
        <v>2022</v>
      </c>
      <c r="L5" s="1">
        <f t="shared" si="1"/>
        <v>2023</v>
      </c>
      <c r="M5" s="1">
        <f t="shared" si="1"/>
        <v>2024</v>
      </c>
      <c r="N5" s="1">
        <f t="shared" si="0"/>
        <v>2025</v>
      </c>
      <c r="O5" s="1">
        <f t="shared" si="0"/>
        <v>2026</v>
      </c>
      <c r="P5" s="1">
        <f t="shared" si="0"/>
        <v>2027</v>
      </c>
      <c r="Q5" s="1">
        <f t="shared" si="0"/>
        <v>2028</v>
      </c>
      <c r="R5" s="1">
        <f t="shared" si="0"/>
        <v>2029</v>
      </c>
    </row>
    <row r="6" spans="1:18" ht="15" customHeight="1" x14ac:dyDescent="0.3">
      <c r="C6" s="52" t="s">
        <v>15</v>
      </c>
      <c r="D6" s="52"/>
      <c r="E6" t="s">
        <v>16</v>
      </c>
      <c r="F6" s="1" t="s">
        <v>17</v>
      </c>
      <c r="G6" s="26" t="s">
        <v>18</v>
      </c>
      <c r="H6" s="63" t="s">
        <v>128</v>
      </c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15" customHeight="1" x14ac:dyDescent="0.3">
      <c r="D7" t="s">
        <v>20</v>
      </c>
      <c r="E7" s="1" t="s">
        <v>21</v>
      </c>
      <c r="F7" s="1" t="s">
        <v>22</v>
      </c>
      <c r="G7" s="26" t="s">
        <v>23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x14ac:dyDescent="0.3">
      <c r="A8" s="52" t="s">
        <v>55</v>
      </c>
      <c r="B8" s="52"/>
      <c r="C8" s="8"/>
      <c r="D8" s="8"/>
      <c r="E8" s="9"/>
      <c r="F8" s="9"/>
      <c r="G8" s="25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">
      <c r="A9" s="47" t="s">
        <v>34</v>
      </c>
      <c r="B9" s="47"/>
      <c r="C9" s="15">
        <v>1340</v>
      </c>
      <c r="D9" t="s">
        <v>26</v>
      </c>
      <c r="E9">
        <f>C9*'Data input'!D9</f>
        <v>10050</v>
      </c>
      <c r="F9" s="11">
        <v>30</v>
      </c>
      <c r="G9" s="9">
        <f>19+$G$5-2019</f>
        <v>19</v>
      </c>
      <c r="H9" s="23">
        <f>$E$9*$G$9/$F$9</f>
        <v>6365</v>
      </c>
      <c r="I9" s="10">
        <f t="shared" ref="I9:R9" si="2">$E$9*($G$9+I4)/$F$9</f>
        <v>6700</v>
      </c>
      <c r="J9" s="10">
        <f t="shared" si="2"/>
        <v>7035</v>
      </c>
      <c r="K9" s="10">
        <f t="shared" si="2"/>
        <v>7370</v>
      </c>
      <c r="L9" s="10">
        <f t="shared" si="2"/>
        <v>7705</v>
      </c>
      <c r="M9" s="10">
        <f t="shared" si="2"/>
        <v>8040</v>
      </c>
      <c r="N9" s="10">
        <f t="shared" si="2"/>
        <v>8375</v>
      </c>
      <c r="O9" s="10">
        <f t="shared" si="2"/>
        <v>8710</v>
      </c>
      <c r="P9" s="10">
        <f t="shared" si="2"/>
        <v>9045</v>
      </c>
      <c r="Q9" s="10">
        <f t="shared" si="2"/>
        <v>9380</v>
      </c>
      <c r="R9" s="10">
        <f t="shared" si="2"/>
        <v>9715</v>
      </c>
    </row>
    <row r="10" spans="1:18" x14ac:dyDescent="0.3">
      <c r="B10" s="2" t="s">
        <v>29</v>
      </c>
      <c r="C10" s="15">
        <v>1900</v>
      </c>
      <c r="D10" t="s">
        <v>26</v>
      </c>
      <c r="E10" s="11">
        <f>C10*'Data input'!D10</f>
        <v>11400</v>
      </c>
      <c r="F10" s="11">
        <v>25</v>
      </c>
      <c r="G10" s="9">
        <f>20+$G$5-2019</f>
        <v>20</v>
      </c>
      <c r="H10" s="23">
        <f>$E$10*$G$10/$F$10</f>
        <v>9120</v>
      </c>
      <c r="I10" s="10">
        <f t="shared" ref="I10:R10" si="3">$E$10*($G$10+I4)/$F$10</f>
        <v>9576</v>
      </c>
      <c r="J10" s="10">
        <f t="shared" si="3"/>
        <v>10032</v>
      </c>
      <c r="K10" s="10">
        <f t="shared" si="3"/>
        <v>10488</v>
      </c>
      <c r="L10" s="10">
        <f t="shared" si="3"/>
        <v>10944</v>
      </c>
      <c r="M10" s="10">
        <f t="shared" si="3"/>
        <v>11400</v>
      </c>
      <c r="N10" s="10">
        <f t="shared" si="3"/>
        <v>11856</v>
      </c>
      <c r="O10" s="10">
        <f t="shared" si="3"/>
        <v>12312</v>
      </c>
      <c r="P10" s="10">
        <f t="shared" si="3"/>
        <v>12768</v>
      </c>
      <c r="Q10" s="10">
        <f t="shared" si="3"/>
        <v>13224</v>
      </c>
      <c r="R10" s="10">
        <f t="shared" si="3"/>
        <v>13680</v>
      </c>
    </row>
    <row r="11" spans="1:18" x14ac:dyDescent="0.3">
      <c r="B11" s="2" t="s">
        <v>99</v>
      </c>
      <c r="C11" s="15">
        <v>2680</v>
      </c>
      <c r="D11" t="s">
        <v>26</v>
      </c>
      <c r="E11" s="11">
        <f>C11*'Data input'!D8</f>
        <v>5360</v>
      </c>
      <c r="F11" s="11">
        <v>8</v>
      </c>
      <c r="G11" s="9">
        <f>3+$G$5-2019</f>
        <v>3</v>
      </c>
      <c r="H11" s="23">
        <f>$E$11*$G$11/$F$11</f>
        <v>2010</v>
      </c>
      <c r="I11" s="10">
        <f>$E$11*(I4+2)/$F$11</f>
        <v>2010</v>
      </c>
      <c r="J11" s="10">
        <f t="shared" ref="J11:R11" si="4">$E$11*(J4+2)/$F$11</f>
        <v>2680</v>
      </c>
      <c r="K11" s="10">
        <f t="shared" si="4"/>
        <v>3350</v>
      </c>
      <c r="L11" s="10">
        <f t="shared" si="4"/>
        <v>4020</v>
      </c>
      <c r="M11" s="10">
        <f t="shared" si="4"/>
        <v>4690</v>
      </c>
      <c r="N11" s="10">
        <f t="shared" si="4"/>
        <v>5360</v>
      </c>
      <c r="O11" s="10">
        <f t="shared" si="4"/>
        <v>6030</v>
      </c>
      <c r="P11" s="10">
        <f t="shared" si="4"/>
        <v>6700</v>
      </c>
      <c r="Q11" s="10">
        <f t="shared" si="4"/>
        <v>7370</v>
      </c>
      <c r="R11" s="10">
        <f t="shared" si="4"/>
        <v>8040</v>
      </c>
    </row>
    <row r="12" spans="1:18" x14ac:dyDescent="0.3">
      <c r="B12" s="2" t="s">
        <v>4</v>
      </c>
      <c r="C12" s="15">
        <v>222</v>
      </c>
      <c r="D12" t="s">
        <v>56</v>
      </c>
      <c r="E12" s="11">
        <f>C12*'Data input'!D11</f>
        <v>2442</v>
      </c>
      <c r="F12" s="11">
        <v>25</v>
      </c>
      <c r="G12" s="9">
        <f>20+$G$5-2019</f>
        <v>20</v>
      </c>
      <c r="H12" s="23">
        <f>$E$12*$G$12/$F$12</f>
        <v>1953.6</v>
      </c>
      <c r="I12" s="10">
        <f t="shared" ref="I12:R12" si="5">$E$12*($G$12+I4)/$F$12</f>
        <v>2051.2800000000002</v>
      </c>
      <c r="J12" s="10">
        <f t="shared" si="5"/>
        <v>2148.96</v>
      </c>
      <c r="K12" s="10">
        <f t="shared" si="5"/>
        <v>2246.64</v>
      </c>
      <c r="L12" s="10">
        <f t="shared" si="5"/>
        <v>2344.3200000000002</v>
      </c>
      <c r="M12" s="10">
        <f t="shared" si="5"/>
        <v>2442</v>
      </c>
      <c r="N12" s="10">
        <f t="shared" si="5"/>
        <v>2539.6799999999998</v>
      </c>
      <c r="O12" s="10">
        <f t="shared" si="5"/>
        <v>2637.36</v>
      </c>
      <c r="P12" s="10">
        <f t="shared" si="5"/>
        <v>2735.04</v>
      </c>
      <c r="Q12" s="10">
        <f t="shared" si="5"/>
        <v>2832.72</v>
      </c>
      <c r="R12" s="10">
        <f t="shared" si="5"/>
        <v>2930.4</v>
      </c>
    </row>
    <row r="13" spans="1:18" x14ac:dyDescent="0.3">
      <c r="B13" s="2" t="s">
        <v>32</v>
      </c>
      <c r="C13" s="2"/>
      <c r="D13" s="2"/>
      <c r="E13" s="11">
        <v>2000</v>
      </c>
      <c r="F13" s="11">
        <v>40</v>
      </c>
      <c r="G13" s="9">
        <f>7+$G$5-2019</f>
        <v>7</v>
      </c>
      <c r="H13" s="23">
        <f>$E$13*$G$13/$F$13</f>
        <v>350</v>
      </c>
      <c r="I13" s="10">
        <f t="shared" ref="I13:R13" si="6">$E$13*($G$13+I4)/$F$13</f>
        <v>400</v>
      </c>
      <c r="J13" s="10">
        <f t="shared" si="6"/>
        <v>450</v>
      </c>
      <c r="K13" s="10">
        <f t="shared" si="6"/>
        <v>500</v>
      </c>
      <c r="L13" s="10">
        <f t="shared" si="6"/>
        <v>550</v>
      </c>
      <c r="M13" s="10">
        <f t="shared" si="6"/>
        <v>600</v>
      </c>
      <c r="N13" s="10">
        <f t="shared" si="6"/>
        <v>650</v>
      </c>
      <c r="O13" s="10">
        <f t="shared" si="6"/>
        <v>700</v>
      </c>
      <c r="P13" s="10">
        <f t="shared" si="6"/>
        <v>750</v>
      </c>
      <c r="Q13" s="10">
        <f t="shared" si="6"/>
        <v>800</v>
      </c>
      <c r="R13" s="10">
        <f t="shared" si="6"/>
        <v>850</v>
      </c>
    </row>
    <row r="14" spans="1:18" x14ac:dyDescent="0.3">
      <c r="B14" s="2"/>
      <c r="C14" s="2"/>
      <c r="D14" s="2"/>
      <c r="E14" s="11"/>
      <c r="F14" s="11"/>
      <c r="G14" s="9"/>
      <c r="H14" s="23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5" customHeight="1" x14ac:dyDescent="0.3">
      <c r="A15" s="47" t="s">
        <v>69</v>
      </c>
      <c r="B15" s="47"/>
      <c r="C15" s="1">
        <v>4849</v>
      </c>
      <c r="D15" s="8" t="s">
        <v>26</v>
      </c>
      <c r="E15" s="11">
        <v>6352</v>
      </c>
      <c r="F15" s="11">
        <v>20</v>
      </c>
      <c r="G15" s="9">
        <f>3+$G$5-2019</f>
        <v>3</v>
      </c>
      <c r="H15" s="23">
        <f>E15*G15/F15</f>
        <v>952.8</v>
      </c>
      <c r="I15" s="10">
        <f>$E$15*(I4+$G$15)/$F$15</f>
        <v>1270.4000000000001</v>
      </c>
      <c r="J15" s="10">
        <f t="shared" ref="J15:R15" si="7">$E$15*(J4+$G$15)/$F$15</f>
        <v>1588</v>
      </c>
      <c r="K15" s="10">
        <f t="shared" si="7"/>
        <v>1905.6</v>
      </c>
      <c r="L15" s="10">
        <f t="shared" si="7"/>
        <v>2223.1999999999998</v>
      </c>
      <c r="M15" s="10">
        <f t="shared" si="7"/>
        <v>2540.8000000000002</v>
      </c>
      <c r="N15" s="10">
        <f t="shared" si="7"/>
        <v>2858.4</v>
      </c>
      <c r="O15" s="10">
        <f t="shared" si="7"/>
        <v>3176</v>
      </c>
      <c r="P15" s="10">
        <f t="shared" si="7"/>
        <v>3493.6</v>
      </c>
      <c r="Q15" s="10">
        <f t="shared" si="7"/>
        <v>3811.2</v>
      </c>
      <c r="R15" s="10">
        <f t="shared" si="7"/>
        <v>4128.8</v>
      </c>
    </row>
    <row r="16" spans="1:18" ht="15" customHeight="1" x14ac:dyDescent="0.3">
      <c r="A16" s="47" t="s">
        <v>57</v>
      </c>
      <c r="B16" s="47"/>
      <c r="C16" s="15">
        <v>490</v>
      </c>
      <c r="D16" t="s">
        <v>56</v>
      </c>
      <c r="E16" s="11">
        <f>C16*'Data input'!D12</f>
        <v>6860</v>
      </c>
      <c r="F16" s="11">
        <v>30</v>
      </c>
      <c r="G16" s="9">
        <f>10+$G$5-2019</f>
        <v>10</v>
      </c>
      <c r="H16" s="23">
        <f>$E$16*$G$16/$F$16</f>
        <v>2286.6666666666665</v>
      </c>
      <c r="I16" s="10">
        <f>$E$16*($G$16+I4)/$F$16</f>
        <v>2515.3333333333335</v>
      </c>
      <c r="J16" s="10">
        <f>$E$16*($G$16+J4)/$F$16</f>
        <v>2744</v>
      </c>
      <c r="K16" s="10">
        <f t="shared" ref="K16:R16" si="8">$E$16*($G$16+K4)/$F$16</f>
        <v>2972.6666666666665</v>
      </c>
      <c r="L16" s="10">
        <f t="shared" si="8"/>
        <v>3201.3333333333335</v>
      </c>
      <c r="M16" s="10">
        <f t="shared" si="8"/>
        <v>3430</v>
      </c>
      <c r="N16" s="10">
        <f t="shared" si="8"/>
        <v>3658.6666666666665</v>
      </c>
      <c r="O16" s="10">
        <f t="shared" si="8"/>
        <v>3887.3333333333335</v>
      </c>
      <c r="P16" s="10">
        <f t="shared" si="8"/>
        <v>4116</v>
      </c>
      <c r="Q16" s="10">
        <f t="shared" si="8"/>
        <v>4344.666666666667</v>
      </c>
      <c r="R16" s="10">
        <f t="shared" si="8"/>
        <v>4573.333333333333</v>
      </c>
    </row>
    <row r="17" spans="1:18" x14ac:dyDescent="0.3">
      <c r="A17" s="47" t="s">
        <v>58</v>
      </c>
      <c r="B17" s="47"/>
      <c r="C17" s="15">
        <v>8</v>
      </c>
      <c r="D17" t="s">
        <v>68</v>
      </c>
      <c r="E17" s="11">
        <f>C17*'Data input'!D19</f>
        <v>960</v>
      </c>
      <c r="F17" s="11">
        <v>15</v>
      </c>
      <c r="G17" s="9">
        <f>9+$G$5-2019</f>
        <v>9</v>
      </c>
      <c r="H17" s="23">
        <f>$E$17*$G$17/$F$17</f>
        <v>576</v>
      </c>
      <c r="I17" s="10">
        <f>$E$17*($G$17+I4)/$F$17</f>
        <v>640</v>
      </c>
      <c r="J17" s="10">
        <f t="shared" ref="J17:R17" si="9">$E$17*($G$17+J4)/$F$17</f>
        <v>704</v>
      </c>
      <c r="K17" s="10">
        <f t="shared" si="9"/>
        <v>768</v>
      </c>
      <c r="L17" s="10">
        <f t="shared" si="9"/>
        <v>832</v>
      </c>
      <c r="M17" s="10">
        <f t="shared" si="9"/>
        <v>896</v>
      </c>
      <c r="N17" s="10">
        <f t="shared" si="9"/>
        <v>960</v>
      </c>
      <c r="O17" s="10">
        <f t="shared" si="9"/>
        <v>1024</v>
      </c>
      <c r="P17" s="10">
        <f t="shared" si="9"/>
        <v>1088</v>
      </c>
      <c r="Q17" s="10">
        <f t="shared" si="9"/>
        <v>1152</v>
      </c>
      <c r="R17" s="10">
        <f t="shared" si="9"/>
        <v>1216</v>
      </c>
    </row>
    <row r="18" spans="1:18" x14ac:dyDescent="0.3">
      <c r="H18" s="23"/>
      <c r="I18" s="10"/>
      <c r="J18" s="10"/>
      <c r="K18" s="10"/>
      <c r="L18" s="10"/>
    </row>
    <row r="19" spans="1:18" x14ac:dyDescent="0.3">
      <c r="A19" s="60" t="s">
        <v>38</v>
      </c>
      <c r="B19" s="60"/>
      <c r="C19" s="60"/>
      <c r="D19" s="60"/>
      <c r="E19" s="60"/>
      <c r="H19" s="23">
        <f>SUM(H9:H17)</f>
        <v>23614.066666666666</v>
      </c>
      <c r="I19" s="23">
        <f t="shared" ref="I19:R19" si="10">SUM(I9:I17)</f>
        <v>25163.013333333332</v>
      </c>
      <c r="J19" s="23">
        <f t="shared" si="10"/>
        <v>27381.96</v>
      </c>
      <c r="K19" s="23">
        <f t="shared" si="10"/>
        <v>29600.906666666666</v>
      </c>
      <c r="L19" s="23">
        <f t="shared" si="10"/>
        <v>31819.853333333333</v>
      </c>
      <c r="M19" s="23">
        <f t="shared" si="10"/>
        <v>34038.800000000003</v>
      </c>
      <c r="N19" s="23">
        <f t="shared" si="10"/>
        <v>36257.746666666666</v>
      </c>
      <c r="O19" s="23">
        <f t="shared" si="10"/>
        <v>38476.693333333336</v>
      </c>
      <c r="P19" s="23">
        <f t="shared" si="10"/>
        <v>40695.64</v>
      </c>
      <c r="Q19" s="23">
        <f t="shared" si="10"/>
        <v>42914.586666666662</v>
      </c>
      <c r="R19" s="23">
        <f t="shared" si="10"/>
        <v>45133.53333333334</v>
      </c>
    </row>
    <row r="20" spans="1:18" x14ac:dyDescent="0.3">
      <c r="A20" t="s">
        <v>70</v>
      </c>
      <c r="H20" s="23">
        <f>H19</f>
        <v>23614.066666666666</v>
      </c>
      <c r="I20" s="23">
        <f>I19*(1+'Data input'!$D$23/100)^I4</f>
        <v>25414.643466666665</v>
      </c>
      <c r="J20" s="23">
        <f>J19*(1+'Data input'!$D$23/100)^J4</f>
        <v>27932.337395999999</v>
      </c>
      <c r="K20" s="23">
        <f>K19*(1+'Data input'!$D$23/100)^K4</f>
        <v>30497.843739573331</v>
      </c>
      <c r="L20" s="23">
        <f>L19*(1+'Data input'!$D$23/100)^L4</f>
        <v>33111.866976278536</v>
      </c>
      <c r="M20" s="23">
        <f>M19*(1+'Data input'!$D$23/100)^M4</f>
        <v>35775.120893343883</v>
      </c>
      <c r="N20" s="23">
        <f>N19*(1+'Data input'!$D$23/100)^N4</f>
        <v>38488.32870205291</v>
      </c>
      <c r="O20" s="23">
        <f>O19*(1+'Data input'!$D$23/100)^O4</f>
        <v>41252.223154846775</v>
      </c>
      <c r="P20" s="23">
        <f>P19*(1+'Data input'!$D$23/100)^P4</f>
        <v>44067.546663826324</v>
      </c>
      <c r="Q20" s="23">
        <f>Q19*(1+'Data input'!$D$23/100)^Q4</f>
        <v>46935.051420669974</v>
      </c>
      <c r="R20" s="23">
        <f>R19*(1+'Data input'!$D$23/100)^R4</f>
        <v>49855.499517984128</v>
      </c>
    </row>
    <row r="21" spans="1:18" x14ac:dyDescent="0.3">
      <c r="A21" s="8"/>
      <c r="B21" s="8"/>
      <c r="C21" s="8"/>
      <c r="D21" s="8"/>
      <c r="E21" s="8"/>
      <c r="H21" s="30"/>
      <c r="I21" s="10"/>
      <c r="J21" s="10"/>
      <c r="K21" s="10"/>
      <c r="L21" s="10"/>
      <c r="M21" s="10"/>
    </row>
    <row r="22" spans="1:18" x14ac:dyDescent="0.3">
      <c r="A22" t="s">
        <v>104</v>
      </c>
      <c r="H22" s="23">
        <f>'Data input'!D35</f>
        <v>11973</v>
      </c>
      <c r="I22" s="10">
        <f>H22+$P$28</f>
        <v>14823</v>
      </c>
      <c r="J22" s="10">
        <f>I22+$P$28</f>
        <v>17673</v>
      </c>
      <c r="K22" s="10">
        <f t="shared" ref="K22:R22" si="11">J22+$P$28</f>
        <v>20523</v>
      </c>
      <c r="L22" s="10">
        <f t="shared" si="11"/>
        <v>23373</v>
      </c>
      <c r="M22" s="10">
        <f t="shared" si="11"/>
        <v>26223</v>
      </c>
      <c r="N22" s="10">
        <f t="shared" si="11"/>
        <v>29073</v>
      </c>
      <c r="O22" s="10">
        <f t="shared" si="11"/>
        <v>31923</v>
      </c>
      <c r="P22" s="10">
        <f t="shared" si="11"/>
        <v>34773</v>
      </c>
      <c r="Q22" s="10">
        <f t="shared" si="11"/>
        <v>37623</v>
      </c>
      <c r="R22" s="10">
        <f t="shared" si="11"/>
        <v>40473</v>
      </c>
    </row>
    <row r="23" spans="1:18" x14ac:dyDescent="0.3">
      <c r="A23" t="s">
        <v>40</v>
      </c>
      <c r="H23" s="23">
        <f>H19-H22</f>
        <v>11641.066666666666</v>
      </c>
      <c r="I23" s="10">
        <f t="shared" ref="I23:R23" si="12">I19-I22</f>
        <v>10340.013333333332</v>
      </c>
      <c r="J23" s="10">
        <f t="shared" si="12"/>
        <v>9708.9599999999991</v>
      </c>
      <c r="K23" s="10">
        <f t="shared" si="12"/>
        <v>9077.9066666666658</v>
      </c>
      <c r="L23" s="10">
        <f t="shared" si="12"/>
        <v>8446.8533333333326</v>
      </c>
      <c r="M23" s="10">
        <f t="shared" si="12"/>
        <v>7815.8000000000029</v>
      </c>
      <c r="N23" s="10">
        <f t="shared" si="12"/>
        <v>7184.746666666666</v>
      </c>
      <c r="O23" s="10">
        <f t="shared" si="12"/>
        <v>6553.6933333333363</v>
      </c>
      <c r="P23" s="10">
        <f t="shared" si="12"/>
        <v>5922.6399999999994</v>
      </c>
      <c r="Q23" s="10">
        <f t="shared" si="12"/>
        <v>5291.5866666666625</v>
      </c>
      <c r="R23" s="10">
        <f t="shared" si="12"/>
        <v>4660.5333333333401</v>
      </c>
    </row>
    <row r="24" spans="1:18" x14ac:dyDescent="0.3">
      <c r="A24" t="s">
        <v>41</v>
      </c>
      <c r="H24" s="23">
        <f>H23/'Data input'!$L$11</f>
        <v>1663.0095238095237</v>
      </c>
      <c r="I24" s="10">
        <f>I23/'Data input'!$L$11</f>
        <v>1477.1447619047617</v>
      </c>
      <c r="J24" s="10">
        <f>J23/'Data input'!$L$11</f>
        <v>1386.9942857142855</v>
      </c>
      <c r="K24" s="10">
        <f>K23/'Data input'!$L$11</f>
        <v>1296.8438095238093</v>
      </c>
      <c r="L24" s="10">
        <f>L23/'Data input'!$L$11</f>
        <v>1206.6933333333332</v>
      </c>
      <c r="M24" s="10">
        <f>M23/'Data input'!$L$11</f>
        <v>1116.5428571428577</v>
      </c>
      <c r="N24" s="10">
        <f>N23/'Data input'!$L$11</f>
        <v>1026.3923809523808</v>
      </c>
      <c r="O24" s="10">
        <f>O23/'Data input'!$L$11</f>
        <v>936.24190476190518</v>
      </c>
      <c r="P24" s="10">
        <f>P23/'Data input'!$L$11</f>
        <v>846.09142857142854</v>
      </c>
      <c r="Q24" s="10">
        <f>Q23/'Data input'!$L$11</f>
        <v>755.94095238095179</v>
      </c>
      <c r="R24" s="10">
        <f>R23/'Data input'!$L$11</f>
        <v>665.79047619047719</v>
      </c>
    </row>
    <row r="25" spans="1:18" x14ac:dyDescent="0.3">
      <c r="A25" s="8" t="s">
        <v>42</v>
      </c>
      <c r="B25" s="8"/>
      <c r="C25" s="8"/>
      <c r="D25" s="8"/>
      <c r="E25" s="8"/>
      <c r="H25" s="23">
        <f>100*H22/H19</f>
        <v>50.702829669321396</v>
      </c>
      <c r="I25" s="10">
        <f t="shared" ref="I25:R25" si="13">100*I22/I19</f>
        <v>58.907889145232211</v>
      </c>
      <c r="J25" s="10">
        <f t="shared" si="13"/>
        <v>64.542494401423426</v>
      </c>
      <c r="K25" s="10">
        <f t="shared" si="13"/>
        <v>69.332335766291848</v>
      </c>
      <c r="L25" s="10">
        <f t="shared" si="13"/>
        <v>73.45414120911515</v>
      </c>
      <c r="M25" s="10">
        <f t="shared" si="13"/>
        <v>77.038556000799076</v>
      </c>
      <c r="N25" s="10">
        <f t="shared" si="13"/>
        <v>80.184243845269293</v>
      </c>
      <c r="O25" s="10">
        <f t="shared" si="13"/>
        <v>82.967108746697562</v>
      </c>
      <c r="P25" s="10">
        <f t="shared" si="13"/>
        <v>85.446499919893142</v>
      </c>
      <c r="Q25" s="10">
        <f t="shared" si="13"/>
        <v>87.669491709734132</v>
      </c>
      <c r="R25" s="10">
        <f t="shared" si="13"/>
        <v>89.67390100191578</v>
      </c>
    </row>
    <row r="27" spans="1:18" ht="15" thickBot="1" x14ac:dyDescent="0.35">
      <c r="A27" t="s">
        <v>60</v>
      </c>
    </row>
    <row r="28" spans="1:18" ht="15" customHeight="1" x14ac:dyDescent="0.3">
      <c r="B28" s="52"/>
      <c r="C28" s="52"/>
      <c r="D28" s="52"/>
      <c r="E28" s="52"/>
      <c r="F28" s="47" t="s">
        <v>71</v>
      </c>
      <c r="G28" s="47"/>
      <c r="H28" s="47"/>
      <c r="I28" s="47"/>
      <c r="J28">
        <f>('Data input'!K11*'Data input'!L11+'Data input'!K17)*4</f>
        <v>3600</v>
      </c>
      <c r="K28" s="11"/>
      <c r="M28" s="68" t="s">
        <v>44</v>
      </c>
      <c r="N28" s="69"/>
      <c r="O28" s="69"/>
      <c r="P28" s="72">
        <f>J28-J29</f>
        <v>2850</v>
      </c>
      <c r="Q28" s="18"/>
    </row>
    <row r="29" spans="1:18" ht="15" customHeight="1" thickBot="1" x14ac:dyDescent="0.35">
      <c r="B29" s="47" t="s">
        <v>74</v>
      </c>
      <c r="C29" s="47"/>
      <c r="D29" s="47"/>
      <c r="E29" s="47"/>
      <c r="F29" s="47"/>
      <c r="G29" s="47"/>
      <c r="H29" s="47"/>
      <c r="I29" s="47"/>
      <c r="J29" s="19">
        <v>750</v>
      </c>
      <c r="K29" s="9"/>
      <c r="M29" s="70"/>
      <c r="N29" s="71"/>
      <c r="O29" s="71"/>
      <c r="P29" s="73"/>
      <c r="Q29" s="18"/>
    </row>
    <row r="30" spans="1:18" x14ac:dyDescent="0.3">
      <c r="B30" s="2"/>
      <c r="C30" s="2"/>
      <c r="D30" s="2"/>
      <c r="E30" s="2"/>
      <c r="F30" s="2"/>
      <c r="G30" s="2"/>
      <c r="H30" s="2"/>
      <c r="I30" s="2"/>
      <c r="J30" s="2"/>
      <c r="K30" s="9"/>
    </row>
    <row r="31" spans="1:18" x14ac:dyDescent="0.3">
      <c r="B31" s="8"/>
      <c r="C31" s="8"/>
      <c r="D31" s="8"/>
      <c r="E31" s="2"/>
      <c r="F31" s="2"/>
      <c r="G31" s="2"/>
      <c r="H31" s="2"/>
      <c r="I31" s="2"/>
      <c r="J31" s="2"/>
      <c r="K31" s="9"/>
    </row>
    <row r="33" spans="2:5" x14ac:dyDescent="0.3">
      <c r="B33" s="13"/>
      <c r="C33" s="13"/>
      <c r="D33" s="13"/>
    </row>
    <row r="36" spans="2:5" x14ac:dyDescent="0.3">
      <c r="E36" s="9"/>
    </row>
    <row r="37" spans="2:5" x14ac:dyDescent="0.3">
      <c r="E37" s="9"/>
    </row>
  </sheetData>
  <mergeCells count="18">
    <mergeCell ref="A19:E19"/>
    <mergeCell ref="A9:B9"/>
    <mergeCell ref="H6:R7"/>
    <mergeCell ref="C6:D6"/>
    <mergeCell ref="G4:H4"/>
    <mergeCell ref="A15:B15"/>
    <mergeCell ref="A16:B16"/>
    <mergeCell ref="A17:B17"/>
    <mergeCell ref="M28:O29"/>
    <mergeCell ref="P28:P29"/>
    <mergeCell ref="F28:I28"/>
    <mergeCell ref="B29:I29"/>
    <mergeCell ref="B28:E28"/>
    <mergeCell ref="F1:K2"/>
    <mergeCell ref="L1:M2"/>
    <mergeCell ref="N1:N2"/>
    <mergeCell ref="G5:H5"/>
    <mergeCell ref="A8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1"/>
  <sheetViews>
    <sheetView topLeftCell="A10" workbookViewId="0">
      <selection activeCell="I32" sqref="H32:I32"/>
    </sheetView>
  </sheetViews>
  <sheetFormatPr defaultRowHeight="14.4" x14ac:dyDescent="0.3"/>
  <sheetData>
    <row r="1" spans="1:19" ht="15" customHeight="1" x14ac:dyDescent="0.3">
      <c r="F1" s="50" t="s">
        <v>98</v>
      </c>
      <c r="G1" s="50"/>
      <c r="H1" s="50"/>
      <c r="I1" s="50"/>
      <c r="J1" s="50"/>
      <c r="K1" s="50" t="str">
        <f>'Data input'!H4</f>
        <v xml:space="preserve">June </v>
      </c>
      <c r="L1" s="50"/>
      <c r="M1" s="50">
        <f>'Data input'!D4</f>
        <v>2019</v>
      </c>
    </row>
    <row r="2" spans="1:19" ht="15" customHeight="1" x14ac:dyDescent="0.3">
      <c r="F2" s="50"/>
      <c r="G2" s="50"/>
      <c r="H2" s="50"/>
      <c r="I2" s="50"/>
      <c r="J2" s="50"/>
      <c r="K2" s="50"/>
      <c r="L2" s="50"/>
      <c r="M2" s="50"/>
    </row>
    <row r="4" spans="1:19" x14ac:dyDescent="0.3">
      <c r="G4" s="61" t="s">
        <v>1</v>
      </c>
      <c r="H4" s="61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61">
        <f>M1</f>
        <v>2019</v>
      </c>
      <c r="H5" s="61"/>
      <c r="I5" s="1">
        <f>G5+1</f>
        <v>2020</v>
      </c>
      <c r="J5" s="1">
        <f>I5+1</f>
        <v>2021</v>
      </c>
      <c r="K5" s="1">
        <f t="shared" ref="K5:M5" si="1">J5+1</f>
        <v>2022</v>
      </c>
      <c r="L5" s="1">
        <f t="shared" si="1"/>
        <v>2023</v>
      </c>
      <c r="M5" s="1">
        <f t="shared" si="1"/>
        <v>2024</v>
      </c>
      <c r="N5" s="1">
        <f t="shared" si="0"/>
        <v>2025</v>
      </c>
      <c r="O5" s="1">
        <f t="shared" si="0"/>
        <v>2026</v>
      </c>
      <c r="P5" s="1">
        <f t="shared" si="0"/>
        <v>2027</v>
      </c>
      <c r="Q5" s="1">
        <f t="shared" si="0"/>
        <v>2028</v>
      </c>
      <c r="R5" s="1">
        <f t="shared" si="0"/>
        <v>2029</v>
      </c>
      <c r="S5" s="1"/>
    </row>
    <row r="6" spans="1:19" ht="15" customHeight="1" x14ac:dyDescent="0.3">
      <c r="C6" s="52" t="s">
        <v>15</v>
      </c>
      <c r="D6" s="52"/>
      <c r="E6" t="s">
        <v>16</v>
      </c>
      <c r="F6" s="1" t="s">
        <v>17</v>
      </c>
      <c r="G6" s="24" t="s">
        <v>18</v>
      </c>
      <c r="H6" s="63" t="s">
        <v>128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20"/>
    </row>
    <row r="7" spans="1:19" ht="15" customHeight="1" x14ac:dyDescent="0.3">
      <c r="D7" t="s">
        <v>20</v>
      </c>
      <c r="E7" s="1" t="s">
        <v>21</v>
      </c>
      <c r="F7" s="1" t="s">
        <v>22</v>
      </c>
      <c r="G7" s="24" t="s">
        <v>23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20"/>
    </row>
    <row r="8" spans="1:19" x14ac:dyDescent="0.3">
      <c r="A8" s="52" t="s">
        <v>55</v>
      </c>
      <c r="B8" s="52"/>
      <c r="C8" s="8"/>
      <c r="D8" s="8"/>
      <c r="E8" s="9"/>
      <c r="F8" s="9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x14ac:dyDescent="0.3">
      <c r="A9" s="47" t="s">
        <v>34</v>
      </c>
      <c r="B9" s="47"/>
      <c r="C9" s="15">
        <v>600</v>
      </c>
      <c r="D9" t="s">
        <v>26</v>
      </c>
      <c r="E9" s="11">
        <f>C9*'Data input'!D9</f>
        <v>4500</v>
      </c>
      <c r="F9" s="11">
        <v>30</v>
      </c>
      <c r="G9" s="9">
        <f>19+$G$5-2019</f>
        <v>19</v>
      </c>
      <c r="H9" s="23">
        <f>$E$9*$G$9/$F$9</f>
        <v>2850</v>
      </c>
      <c r="I9" s="10">
        <f>$E$9*($G$9+I4)/$F$9</f>
        <v>3000</v>
      </c>
      <c r="J9" s="10">
        <f t="shared" ref="J9:R9" si="2">$E$9*($G$9+J4)/$F$9</f>
        <v>3150</v>
      </c>
      <c r="K9" s="10">
        <f t="shared" si="2"/>
        <v>3300</v>
      </c>
      <c r="L9" s="10">
        <f t="shared" si="2"/>
        <v>3450</v>
      </c>
      <c r="M9" s="10">
        <f t="shared" si="2"/>
        <v>3600</v>
      </c>
      <c r="N9" s="10">
        <f t="shared" si="2"/>
        <v>3750</v>
      </c>
      <c r="O9" s="10">
        <f t="shared" si="2"/>
        <v>3900</v>
      </c>
      <c r="P9" s="10">
        <f t="shared" si="2"/>
        <v>4050</v>
      </c>
      <c r="Q9" s="10">
        <f t="shared" si="2"/>
        <v>4200</v>
      </c>
      <c r="R9" s="10">
        <f t="shared" si="2"/>
        <v>4350</v>
      </c>
    </row>
    <row r="10" spans="1:19" x14ac:dyDescent="0.3">
      <c r="B10" s="2" t="s">
        <v>29</v>
      </c>
      <c r="C10" s="15">
        <v>550</v>
      </c>
      <c r="D10" t="s">
        <v>26</v>
      </c>
      <c r="E10" s="11">
        <f>C10*'Data input'!D10</f>
        <v>3300</v>
      </c>
      <c r="F10" s="11">
        <v>25</v>
      </c>
      <c r="G10" s="9">
        <f>20+$G$5-2019</f>
        <v>20</v>
      </c>
      <c r="H10" s="23">
        <f>$E$10*$G$10/$F$10</f>
        <v>2640</v>
      </c>
      <c r="I10" s="10">
        <f>$E$10*($G$10+I4)/$F$10</f>
        <v>2772</v>
      </c>
      <c r="J10" s="10">
        <f t="shared" ref="J10:R10" si="3">$E$10*($G$10+J4)/$F$10</f>
        <v>2904</v>
      </c>
      <c r="K10" s="10">
        <f t="shared" si="3"/>
        <v>3036</v>
      </c>
      <c r="L10" s="10">
        <f t="shared" si="3"/>
        <v>3168</v>
      </c>
      <c r="M10" s="10">
        <f t="shared" si="3"/>
        <v>3300</v>
      </c>
      <c r="N10" s="10">
        <f t="shared" si="3"/>
        <v>3432</v>
      </c>
      <c r="O10" s="10">
        <f t="shared" si="3"/>
        <v>3564</v>
      </c>
      <c r="P10" s="10">
        <f t="shared" si="3"/>
        <v>3696</v>
      </c>
      <c r="Q10" s="10">
        <f t="shared" si="3"/>
        <v>3828</v>
      </c>
      <c r="R10" s="10">
        <f t="shared" si="3"/>
        <v>3960</v>
      </c>
    </row>
    <row r="11" spans="1:19" x14ac:dyDescent="0.3">
      <c r="B11" s="2" t="s">
        <v>99</v>
      </c>
      <c r="C11" s="15">
        <v>1200</v>
      </c>
      <c r="D11" t="s">
        <v>26</v>
      </c>
      <c r="E11" s="11">
        <f>C11*'Data input'!D8</f>
        <v>2400</v>
      </c>
      <c r="F11" s="11">
        <v>8</v>
      </c>
      <c r="G11" s="9">
        <f>3+$G$5-2019</f>
        <v>3</v>
      </c>
      <c r="H11" s="23">
        <f>$E$11*$G$11/$F$11</f>
        <v>900</v>
      </c>
      <c r="I11" s="10">
        <f>$E$11*(2+I4)/$F$11</f>
        <v>900</v>
      </c>
      <c r="J11" s="10">
        <f t="shared" ref="J11:R11" si="4">$E$11*(2+J4)/$F$11</f>
        <v>1200</v>
      </c>
      <c r="K11" s="10">
        <f t="shared" si="4"/>
        <v>1500</v>
      </c>
      <c r="L11" s="10">
        <f t="shared" si="4"/>
        <v>1800</v>
      </c>
      <c r="M11" s="10">
        <f t="shared" si="4"/>
        <v>2100</v>
      </c>
      <c r="N11" s="10">
        <f t="shared" si="4"/>
        <v>2400</v>
      </c>
      <c r="O11" s="10">
        <f t="shared" si="4"/>
        <v>2700</v>
      </c>
      <c r="P11" s="10">
        <f t="shared" si="4"/>
        <v>3000</v>
      </c>
      <c r="Q11" s="10">
        <f t="shared" si="4"/>
        <v>3300</v>
      </c>
      <c r="R11" s="10">
        <f t="shared" si="4"/>
        <v>3600</v>
      </c>
    </row>
    <row r="12" spans="1:19" x14ac:dyDescent="0.3">
      <c r="B12" s="2" t="s">
        <v>4</v>
      </c>
      <c r="C12" s="15">
        <v>64</v>
      </c>
      <c r="D12" t="s">
        <v>56</v>
      </c>
      <c r="E12" s="11">
        <f>C12*'Data input'!D11</f>
        <v>704</v>
      </c>
      <c r="F12" s="11">
        <v>25</v>
      </c>
      <c r="G12" s="9">
        <f t="shared" ref="G12" si="5">20+$G$5-2019</f>
        <v>20</v>
      </c>
      <c r="H12" s="23">
        <f>$E$12*$G$12/$F$12</f>
        <v>563.20000000000005</v>
      </c>
      <c r="I12" s="10">
        <f>$E$12*($G$12+I4)/$F$12</f>
        <v>591.36</v>
      </c>
      <c r="J12" s="10">
        <f t="shared" ref="J12:R12" si="6">$E$12*($G$12+J4)/$F$12</f>
        <v>619.52</v>
      </c>
      <c r="K12" s="10">
        <f t="shared" si="6"/>
        <v>647.67999999999995</v>
      </c>
      <c r="L12" s="10">
        <f t="shared" si="6"/>
        <v>675.84</v>
      </c>
      <c r="M12" s="10">
        <f t="shared" si="6"/>
        <v>704</v>
      </c>
      <c r="N12" s="10">
        <f t="shared" si="6"/>
        <v>732.16</v>
      </c>
      <c r="O12" s="10">
        <f t="shared" si="6"/>
        <v>760.32</v>
      </c>
      <c r="P12" s="10">
        <f t="shared" si="6"/>
        <v>788.48</v>
      </c>
      <c r="Q12" s="10">
        <f t="shared" si="6"/>
        <v>816.64</v>
      </c>
      <c r="R12" s="10">
        <f t="shared" si="6"/>
        <v>844.8</v>
      </c>
    </row>
    <row r="13" spans="1:19" x14ac:dyDescent="0.3">
      <c r="B13" s="2" t="s">
        <v>32</v>
      </c>
      <c r="C13" s="2"/>
      <c r="D13" s="2"/>
      <c r="E13" s="11">
        <v>1000</v>
      </c>
      <c r="F13" s="11">
        <v>40</v>
      </c>
      <c r="G13" s="9">
        <f>7+$G$5-2019</f>
        <v>7</v>
      </c>
      <c r="H13" s="23">
        <f>$E$13*$G$13/$F$13</f>
        <v>175</v>
      </c>
      <c r="I13" s="10">
        <f>$E$13*($G$13+I4)/$F$13</f>
        <v>200</v>
      </c>
      <c r="J13" s="10">
        <f t="shared" ref="J13:R13" si="7">$E$13*($G$13+J4)/$F$13</f>
        <v>225</v>
      </c>
      <c r="K13" s="10">
        <f t="shared" si="7"/>
        <v>250</v>
      </c>
      <c r="L13" s="10">
        <f t="shared" si="7"/>
        <v>275</v>
      </c>
      <c r="M13" s="10">
        <f t="shared" si="7"/>
        <v>300</v>
      </c>
      <c r="N13" s="10">
        <f t="shared" si="7"/>
        <v>325</v>
      </c>
      <c r="O13" s="10">
        <f t="shared" si="7"/>
        <v>350</v>
      </c>
      <c r="P13" s="10">
        <f t="shared" si="7"/>
        <v>375</v>
      </c>
      <c r="Q13" s="10">
        <f t="shared" si="7"/>
        <v>400</v>
      </c>
      <c r="R13" s="10">
        <f t="shared" si="7"/>
        <v>425</v>
      </c>
    </row>
    <row r="14" spans="1:19" x14ac:dyDescent="0.3">
      <c r="H14" s="23"/>
      <c r="I14" s="10"/>
      <c r="J14" s="10"/>
      <c r="K14" s="10"/>
      <c r="L14" s="10"/>
    </row>
    <row r="15" spans="1:19" x14ac:dyDescent="0.3">
      <c r="A15" s="60" t="s">
        <v>38</v>
      </c>
      <c r="B15" s="60"/>
      <c r="C15" s="60"/>
      <c r="D15" s="60"/>
      <c r="E15" s="60"/>
      <c r="H15" s="23">
        <f>SUM(H9:H13)</f>
        <v>7128.2</v>
      </c>
      <c r="I15" s="23">
        <f t="shared" ref="I15:R15" si="8">SUM(I9:I13)</f>
        <v>7463.36</v>
      </c>
      <c r="J15" s="23">
        <f t="shared" si="8"/>
        <v>8098.52</v>
      </c>
      <c r="K15" s="23">
        <f t="shared" si="8"/>
        <v>8733.68</v>
      </c>
      <c r="L15" s="23">
        <f t="shared" si="8"/>
        <v>9368.84</v>
      </c>
      <c r="M15" s="23">
        <f t="shared" si="8"/>
        <v>10004</v>
      </c>
      <c r="N15" s="23">
        <f t="shared" si="8"/>
        <v>10639.16</v>
      </c>
      <c r="O15" s="23">
        <f t="shared" si="8"/>
        <v>11274.32</v>
      </c>
      <c r="P15" s="23">
        <f t="shared" si="8"/>
        <v>11909.48</v>
      </c>
      <c r="Q15" s="23">
        <f t="shared" si="8"/>
        <v>12544.64</v>
      </c>
      <c r="R15" s="23">
        <f t="shared" si="8"/>
        <v>13179.8</v>
      </c>
      <c r="S15" s="10"/>
    </row>
    <row r="16" spans="1:19" x14ac:dyDescent="0.3">
      <c r="A16" s="8" t="s">
        <v>70</v>
      </c>
      <c r="B16" s="8"/>
      <c r="C16" s="8"/>
      <c r="D16" s="8"/>
      <c r="E16" s="8"/>
      <c r="H16" s="23">
        <f>H15</f>
        <v>7128.2</v>
      </c>
      <c r="I16" s="10">
        <f>I15*(1+'Data input'!$D$23/100)^I4</f>
        <v>7537.9935999999998</v>
      </c>
      <c r="J16" s="10">
        <f>J15*(1+'Data input'!$D$23/100)^J4</f>
        <v>8261.3002520000009</v>
      </c>
      <c r="K16" s="10">
        <f>K15*(1+'Data input'!$D$23/100)^K4</f>
        <v>8998.3192376799998</v>
      </c>
      <c r="L16" s="10">
        <f>L15*(1+'Data input'!$D$23/100)^L4</f>
        <v>9749.2524730484001</v>
      </c>
      <c r="M16" s="10">
        <f>M15*(1+'Data input'!$D$23/100)^M4</f>
        <v>10514.304541200399</v>
      </c>
      <c r="N16" s="10">
        <f>N15*(1+'Data input'!$D$23/100)^N4</f>
        <v>11293.682725468136</v>
      </c>
      <c r="O16" s="10">
        <f>O15*(1+'Data input'!$D$23/100)^O4</f>
        <v>12087.597042967103</v>
      </c>
      <c r="P16" s="10">
        <f>P15*(1+'Data input'!$D$23/100)^P4</f>
        <v>12896.260278543508</v>
      </c>
      <c r="Q16" s="10">
        <f>Q15*(1+'Data input'!$D$23/100)^Q4</f>
        <v>13719.888019127144</v>
      </c>
      <c r="R16" s="10">
        <f>R15*(1+'Data input'!$D$23/100)^R4</f>
        <v>14558.698688494596</v>
      </c>
      <c r="S16" s="10"/>
    </row>
    <row r="17" spans="1:19" x14ac:dyDescent="0.3">
      <c r="A17" s="8"/>
      <c r="B17" s="8"/>
      <c r="C17" s="8"/>
      <c r="D17" s="8"/>
      <c r="E17" s="8"/>
      <c r="H17" s="30"/>
      <c r="I17" s="10"/>
      <c r="J17" s="10"/>
      <c r="K17" s="10"/>
      <c r="L17" s="10"/>
      <c r="M17" s="10"/>
    </row>
    <row r="18" spans="1:19" x14ac:dyDescent="0.3">
      <c r="A18" s="60" t="s">
        <v>104</v>
      </c>
      <c r="B18" s="60"/>
      <c r="C18" s="60"/>
      <c r="D18" s="60"/>
      <c r="E18" s="60"/>
      <c r="H18" s="23">
        <f>'Data input'!D36</f>
        <v>-1342</v>
      </c>
      <c r="I18" s="10">
        <f>H18+$N$26</f>
        <v>-372</v>
      </c>
      <c r="J18" s="10">
        <f>I18+$N$26</f>
        <v>598</v>
      </c>
      <c r="K18" s="10">
        <f t="shared" ref="K18:R18" si="9">J18+$N$26</f>
        <v>1568</v>
      </c>
      <c r="L18" s="10">
        <f t="shared" si="9"/>
        <v>2538</v>
      </c>
      <c r="M18" s="10">
        <f t="shared" si="9"/>
        <v>3508</v>
      </c>
      <c r="N18" s="10">
        <f t="shared" si="9"/>
        <v>4478</v>
      </c>
      <c r="O18" s="10">
        <f t="shared" si="9"/>
        <v>5448</v>
      </c>
      <c r="P18" s="10">
        <f t="shared" si="9"/>
        <v>6418</v>
      </c>
      <c r="Q18" s="10">
        <f t="shared" si="9"/>
        <v>7388</v>
      </c>
      <c r="R18" s="10">
        <f t="shared" si="9"/>
        <v>8358</v>
      </c>
      <c r="S18" s="10"/>
    </row>
    <row r="19" spans="1:19" x14ac:dyDescent="0.3">
      <c r="A19" s="60" t="s">
        <v>40</v>
      </c>
      <c r="B19" s="60"/>
      <c r="C19" s="60"/>
      <c r="D19" s="60"/>
      <c r="E19" s="60"/>
      <c r="H19" s="23">
        <f t="shared" ref="H19:R19" si="10">H15-H18</f>
        <v>8470.2000000000007</v>
      </c>
      <c r="I19" s="10">
        <f t="shared" si="10"/>
        <v>7835.36</v>
      </c>
      <c r="J19" s="10">
        <f t="shared" si="10"/>
        <v>7500.52</v>
      </c>
      <c r="K19" s="10">
        <f t="shared" si="10"/>
        <v>7165.68</v>
      </c>
      <c r="L19" s="10">
        <f t="shared" si="10"/>
        <v>6830.84</v>
      </c>
      <c r="M19" s="10">
        <f t="shared" si="10"/>
        <v>6496</v>
      </c>
      <c r="N19" s="10">
        <f t="shared" si="10"/>
        <v>6161.16</v>
      </c>
      <c r="O19" s="10">
        <f t="shared" si="10"/>
        <v>5826.32</v>
      </c>
      <c r="P19" s="10">
        <f t="shared" si="10"/>
        <v>5491.48</v>
      </c>
      <c r="Q19" s="10">
        <f t="shared" si="10"/>
        <v>5156.6399999999994</v>
      </c>
      <c r="R19" s="10">
        <f t="shared" si="10"/>
        <v>4821.7999999999993</v>
      </c>
      <c r="S19" s="10"/>
    </row>
    <row r="20" spans="1:19" x14ac:dyDescent="0.3">
      <c r="A20" s="60" t="s">
        <v>41</v>
      </c>
      <c r="B20" s="60"/>
      <c r="C20" s="60"/>
      <c r="D20" s="60"/>
      <c r="E20" s="60"/>
      <c r="H20" s="23">
        <f>H19/'Data input'!$L$12</f>
        <v>4235.1000000000004</v>
      </c>
      <c r="I20" s="10">
        <f>I19/'Data input'!$L$12</f>
        <v>3917.68</v>
      </c>
      <c r="J20" s="10">
        <f>J19/'Data input'!$L$12</f>
        <v>3750.26</v>
      </c>
      <c r="K20" s="10">
        <f>K19/'Data input'!$L$12</f>
        <v>3582.84</v>
      </c>
      <c r="L20" s="10">
        <f>L19/'Data input'!$L$12</f>
        <v>3415.42</v>
      </c>
      <c r="M20" s="10">
        <f>M19/'Data input'!$L$12</f>
        <v>3248</v>
      </c>
      <c r="N20" s="10">
        <f>N19/'Data input'!$L$12</f>
        <v>3080.58</v>
      </c>
      <c r="O20" s="10">
        <f>O19/'Data input'!$L$12</f>
        <v>2913.16</v>
      </c>
      <c r="P20" s="10">
        <f>P19/'Data input'!$L$12</f>
        <v>2745.74</v>
      </c>
      <c r="Q20" s="10">
        <f>Q19/'Data input'!$L$12</f>
        <v>2578.3199999999997</v>
      </c>
      <c r="R20" s="10">
        <f>R19/'Data input'!$L$12</f>
        <v>2410.8999999999996</v>
      </c>
      <c r="S20" s="10"/>
    </row>
    <row r="21" spans="1:19" x14ac:dyDescent="0.3">
      <c r="A21" s="8" t="s">
        <v>42</v>
      </c>
      <c r="B21" s="8"/>
      <c r="C21" s="8"/>
      <c r="D21" s="8"/>
      <c r="E21" s="8"/>
      <c r="H21" s="23">
        <f t="shared" ref="H21:Q21" si="11">100*H18/H15</f>
        <v>-18.82663224937572</v>
      </c>
      <c r="I21" s="10">
        <f t="shared" si="11"/>
        <v>-4.9843502122368477</v>
      </c>
      <c r="J21" s="10">
        <f t="shared" si="11"/>
        <v>7.3840652366111339</v>
      </c>
      <c r="K21" s="10">
        <f t="shared" si="11"/>
        <v>17.953485815830209</v>
      </c>
      <c r="L21" s="10">
        <f t="shared" si="11"/>
        <v>27.089799804458181</v>
      </c>
      <c r="M21" s="10">
        <f t="shared" si="11"/>
        <v>35.06597361055578</v>
      </c>
      <c r="N21" s="10">
        <f t="shared" si="11"/>
        <v>42.089789043495912</v>
      </c>
      <c r="O21" s="10">
        <f t="shared" si="11"/>
        <v>48.322204798160776</v>
      </c>
      <c r="P21" s="10">
        <f t="shared" si="11"/>
        <v>53.889842377668884</v>
      </c>
      <c r="Q21" s="10">
        <f t="shared" si="11"/>
        <v>58.893678893933988</v>
      </c>
      <c r="R21" s="10">
        <f>100*R18/R15</f>
        <v>63.415226331203819</v>
      </c>
      <c r="S21" s="10"/>
    </row>
    <row r="23" spans="1:19" x14ac:dyDescent="0.3">
      <c r="A23" t="s">
        <v>60</v>
      </c>
    </row>
    <row r="24" spans="1:19" x14ac:dyDescent="0.3">
      <c r="F24" s="9"/>
    </row>
    <row r="25" spans="1:19" ht="15" thickBot="1" x14ac:dyDescent="0.35"/>
    <row r="26" spans="1:19" x14ac:dyDescent="0.3">
      <c r="D26" s="47" t="s">
        <v>71</v>
      </c>
      <c r="E26" s="47"/>
      <c r="F26" s="47"/>
      <c r="G26" s="47"/>
      <c r="H26">
        <f>'Data input'!K12*'Data input'!L12*4</f>
        <v>1120</v>
      </c>
      <c r="J26" s="74" t="s">
        <v>44</v>
      </c>
      <c r="K26" s="75"/>
      <c r="L26" s="75"/>
      <c r="M26" s="75"/>
      <c r="N26" s="78">
        <f>H26-H27</f>
        <v>970</v>
      </c>
    </row>
    <row r="27" spans="1:19" ht="15" thickBot="1" x14ac:dyDescent="0.35">
      <c r="B27" s="47" t="s">
        <v>75</v>
      </c>
      <c r="C27" s="47"/>
      <c r="D27" s="47"/>
      <c r="E27" s="47"/>
      <c r="F27" s="47"/>
      <c r="G27" s="47"/>
      <c r="H27" s="19">
        <v>150</v>
      </c>
      <c r="J27" s="76"/>
      <c r="K27" s="77"/>
      <c r="L27" s="77"/>
      <c r="M27" s="77"/>
      <c r="N27" s="79"/>
    </row>
    <row r="28" spans="1:19" x14ac:dyDescent="0.3">
      <c r="B28" s="2"/>
      <c r="C28" s="2"/>
      <c r="D28" s="2"/>
      <c r="E28" s="2"/>
      <c r="F28" s="2"/>
      <c r="G28" s="2"/>
      <c r="H28" s="2"/>
      <c r="I28" s="2"/>
      <c r="J28" s="2"/>
      <c r="K28" s="9"/>
    </row>
    <row r="31" spans="1:19" x14ac:dyDescent="0.3">
      <c r="B31" s="13"/>
      <c r="C31" s="13"/>
      <c r="D31" s="13"/>
    </row>
  </sheetData>
  <mergeCells count="17">
    <mergeCell ref="A9:B9"/>
    <mergeCell ref="C6:D6"/>
    <mergeCell ref="B27:G27"/>
    <mergeCell ref="D26:G26"/>
    <mergeCell ref="A19:E19"/>
    <mergeCell ref="A20:E20"/>
    <mergeCell ref="A8:B8"/>
    <mergeCell ref="A15:E15"/>
    <mergeCell ref="A18:E18"/>
    <mergeCell ref="J26:M27"/>
    <mergeCell ref="N26:N27"/>
    <mergeCell ref="H6:R7"/>
    <mergeCell ref="F1:J2"/>
    <mergeCell ref="K1:L2"/>
    <mergeCell ref="M1:M2"/>
    <mergeCell ref="G5:H5"/>
    <mergeCell ref="G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6"/>
  <sheetViews>
    <sheetView workbookViewId="0">
      <selection activeCell="G12" sqref="G12"/>
    </sheetView>
  </sheetViews>
  <sheetFormatPr defaultRowHeight="14.4" x14ac:dyDescent="0.3"/>
  <sheetData>
    <row r="1" spans="1:18" ht="15" customHeight="1" x14ac:dyDescent="0.3">
      <c r="F1" s="50" t="s">
        <v>76</v>
      </c>
      <c r="G1" s="50"/>
      <c r="H1" s="50"/>
      <c r="I1" s="50"/>
      <c r="J1" s="50"/>
      <c r="K1" s="50" t="str">
        <f>'Data input'!H4</f>
        <v xml:space="preserve">June </v>
      </c>
      <c r="L1" s="50"/>
      <c r="M1" s="50">
        <f>'Data input'!D4</f>
        <v>2019</v>
      </c>
    </row>
    <row r="2" spans="1:18" x14ac:dyDescent="0.3">
      <c r="F2" s="50"/>
      <c r="G2" s="50"/>
      <c r="H2" s="50"/>
      <c r="I2" s="50"/>
      <c r="J2" s="50"/>
      <c r="K2" s="50"/>
      <c r="L2" s="50"/>
      <c r="M2" s="50"/>
    </row>
    <row r="4" spans="1:18" x14ac:dyDescent="0.3">
      <c r="G4" s="61" t="s">
        <v>1</v>
      </c>
      <c r="H4" s="61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</row>
    <row r="5" spans="1:18" x14ac:dyDescent="0.3">
      <c r="E5" s="1" t="s">
        <v>14</v>
      </c>
      <c r="G5" s="61">
        <f>M1</f>
        <v>2019</v>
      </c>
      <c r="H5" s="61"/>
      <c r="I5" s="1">
        <f>G5+1</f>
        <v>2020</v>
      </c>
      <c r="J5" s="1">
        <f>I5+1</f>
        <v>2021</v>
      </c>
      <c r="K5" s="1">
        <f t="shared" ref="K5:M5" si="1">J5+1</f>
        <v>2022</v>
      </c>
      <c r="L5" s="1">
        <f t="shared" si="1"/>
        <v>2023</v>
      </c>
      <c r="M5" s="1">
        <f t="shared" si="1"/>
        <v>2024</v>
      </c>
      <c r="N5" s="1">
        <f t="shared" si="0"/>
        <v>2025</v>
      </c>
      <c r="O5" s="1">
        <f t="shared" si="0"/>
        <v>2026</v>
      </c>
      <c r="P5" s="1">
        <f t="shared" si="0"/>
        <v>2027</v>
      </c>
      <c r="Q5" s="1">
        <f t="shared" si="0"/>
        <v>2028</v>
      </c>
      <c r="R5" s="1">
        <f t="shared" si="0"/>
        <v>2029</v>
      </c>
    </row>
    <row r="6" spans="1:18" ht="15" customHeight="1" x14ac:dyDescent="0.3">
      <c r="C6" s="52" t="s">
        <v>15</v>
      </c>
      <c r="D6" s="52"/>
      <c r="E6" t="s">
        <v>16</v>
      </c>
      <c r="F6" s="1" t="s">
        <v>17</v>
      </c>
      <c r="G6" s="26" t="s">
        <v>18</v>
      </c>
      <c r="H6" s="63" t="s">
        <v>129</v>
      </c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15" customHeight="1" x14ac:dyDescent="0.3">
      <c r="E7" s="1" t="s">
        <v>21</v>
      </c>
      <c r="F7" s="1" t="s">
        <v>22</v>
      </c>
      <c r="G7" s="26" t="s">
        <v>23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x14ac:dyDescent="0.3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8" x14ac:dyDescent="0.3">
      <c r="A9" s="47" t="s">
        <v>69</v>
      </c>
      <c r="B9" s="47"/>
      <c r="C9" s="1">
        <v>4698</v>
      </c>
      <c r="D9" s="8" t="s">
        <v>26</v>
      </c>
      <c r="E9" s="11">
        <v>6254</v>
      </c>
      <c r="F9" s="11">
        <v>20</v>
      </c>
      <c r="G9" s="9">
        <f>3+$G$5-2019</f>
        <v>3</v>
      </c>
      <c r="H9" s="23">
        <f>$E$9*$G$9/$F$9</f>
        <v>938.1</v>
      </c>
      <c r="I9" s="10">
        <f>$E$9*($G$9+I4)/$F$9</f>
        <v>1250.8</v>
      </c>
      <c r="J9" s="10">
        <f>$E$9*($G$9+J4)/$F$9</f>
        <v>1563.5</v>
      </c>
      <c r="K9" s="10">
        <f t="shared" ref="K9:R9" si="2">$E$9*($G$9+K4)/$F$9</f>
        <v>1876.2</v>
      </c>
      <c r="L9" s="10">
        <f t="shared" si="2"/>
        <v>2188.9</v>
      </c>
      <c r="M9" s="10">
        <f t="shared" si="2"/>
        <v>2501.6</v>
      </c>
      <c r="N9" s="10">
        <f t="shared" si="2"/>
        <v>2814.3</v>
      </c>
      <c r="O9" s="10">
        <f t="shared" si="2"/>
        <v>3127</v>
      </c>
      <c r="P9" s="10">
        <f t="shared" si="2"/>
        <v>3439.7</v>
      </c>
      <c r="Q9" s="10">
        <f t="shared" si="2"/>
        <v>3752.4</v>
      </c>
      <c r="R9" s="10">
        <f t="shared" si="2"/>
        <v>4065.1</v>
      </c>
    </row>
    <row r="10" spans="1:18" x14ac:dyDescent="0.3">
      <c r="A10" s="47" t="s">
        <v>57</v>
      </c>
      <c r="B10" s="47"/>
      <c r="C10" s="15">
        <v>230</v>
      </c>
      <c r="D10" t="s">
        <v>56</v>
      </c>
      <c r="E10" s="11">
        <f>C10*'Data input'!D12</f>
        <v>3220</v>
      </c>
      <c r="F10" s="11">
        <v>30</v>
      </c>
      <c r="G10" s="9">
        <f>10+$G$5-2019</f>
        <v>10</v>
      </c>
      <c r="H10" s="23">
        <f>$E$10*$G$10/$F$10</f>
        <v>1073.3333333333333</v>
      </c>
      <c r="I10" s="10">
        <f t="shared" ref="I10:R10" si="3">$E$10*($G$10+I4)/$F$10</f>
        <v>1180.6666666666667</v>
      </c>
      <c r="J10" s="10">
        <f t="shared" si="3"/>
        <v>1288</v>
      </c>
      <c r="K10" s="10">
        <f t="shared" si="3"/>
        <v>1395.3333333333333</v>
      </c>
      <c r="L10" s="10">
        <f t="shared" si="3"/>
        <v>1502.6666666666667</v>
      </c>
      <c r="M10" s="10">
        <f t="shared" si="3"/>
        <v>1610</v>
      </c>
      <c r="N10" s="10">
        <f t="shared" si="3"/>
        <v>1717.3333333333333</v>
      </c>
      <c r="O10" s="10">
        <f t="shared" si="3"/>
        <v>1824.6666666666667</v>
      </c>
      <c r="P10" s="10">
        <f t="shared" si="3"/>
        <v>1932</v>
      </c>
      <c r="Q10" s="10">
        <f t="shared" si="3"/>
        <v>2039.3333333333333</v>
      </c>
      <c r="R10" s="10">
        <f t="shared" si="3"/>
        <v>2146.6666666666665</v>
      </c>
    </row>
    <row r="11" spans="1:18" x14ac:dyDescent="0.3">
      <c r="A11" s="47" t="s">
        <v>58</v>
      </c>
      <c r="B11" s="47"/>
      <c r="C11" s="15">
        <v>4</v>
      </c>
      <c r="D11" t="s">
        <v>68</v>
      </c>
      <c r="E11" s="11">
        <f>C11*'Data input'!D19</f>
        <v>480</v>
      </c>
      <c r="F11" s="11">
        <v>15</v>
      </c>
      <c r="G11" s="9">
        <f>9+$G$5-2019</f>
        <v>9</v>
      </c>
      <c r="H11" s="23">
        <f>$E$11*$G$11/$F$11</f>
        <v>288</v>
      </c>
      <c r="I11" s="10">
        <f t="shared" ref="I11:R11" si="4">$E$11*($G$11+I4)/$F$11</f>
        <v>320</v>
      </c>
      <c r="J11" s="10">
        <f t="shared" si="4"/>
        <v>352</v>
      </c>
      <c r="K11" s="10">
        <f t="shared" si="4"/>
        <v>384</v>
      </c>
      <c r="L11" s="10">
        <f t="shared" si="4"/>
        <v>416</v>
      </c>
      <c r="M11" s="10">
        <f t="shared" si="4"/>
        <v>448</v>
      </c>
      <c r="N11" s="10">
        <f t="shared" si="4"/>
        <v>480</v>
      </c>
      <c r="O11" s="10">
        <f t="shared" si="4"/>
        <v>512</v>
      </c>
      <c r="P11" s="10">
        <f t="shared" si="4"/>
        <v>544</v>
      </c>
      <c r="Q11" s="10">
        <f t="shared" si="4"/>
        <v>576</v>
      </c>
      <c r="R11" s="10">
        <f t="shared" si="4"/>
        <v>608</v>
      </c>
    </row>
    <row r="12" spans="1:18" x14ac:dyDescent="0.3">
      <c r="H12" s="23"/>
      <c r="I12" s="10"/>
      <c r="J12" s="10"/>
      <c r="K12" s="10"/>
      <c r="L12" s="10"/>
    </row>
    <row r="13" spans="1:18" x14ac:dyDescent="0.3">
      <c r="A13" s="60" t="s">
        <v>38</v>
      </c>
      <c r="B13" s="60"/>
      <c r="C13" s="60"/>
      <c r="D13" s="60"/>
      <c r="E13" s="60"/>
      <c r="H13" s="23">
        <f t="shared" ref="H13:R13" si="5">SUM(H9:H11)</f>
        <v>2299.4333333333334</v>
      </c>
      <c r="I13" s="10">
        <f t="shared" si="5"/>
        <v>2751.4666666666667</v>
      </c>
      <c r="J13" s="10">
        <f t="shared" si="5"/>
        <v>3203.5</v>
      </c>
      <c r="K13" s="10">
        <f t="shared" si="5"/>
        <v>3655.5333333333333</v>
      </c>
      <c r="L13" s="10">
        <f t="shared" si="5"/>
        <v>4107.5666666666666</v>
      </c>
      <c r="M13" s="10">
        <f t="shared" si="5"/>
        <v>4559.6000000000004</v>
      </c>
      <c r="N13" s="10">
        <f t="shared" si="5"/>
        <v>5011.6333333333332</v>
      </c>
      <c r="O13" s="10">
        <f t="shared" si="5"/>
        <v>5463.666666666667</v>
      </c>
      <c r="P13" s="10">
        <f t="shared" si="5"/>
        <v>5915.7</v>
      </c>
      <c r="Q13" s="10">
        <f t="shared" si="5"/>
        <v>6367.7333333333336</v>
      </c>
      <c r="R13" s="10">
        <f t="shared" si="5"/>
        <v>6819.7666666666664</v>
      </c>
    </row>
    <row r="14" spans="1:18" x14ac:dyDescent="0.3">
      <c r="A14" s="8" t="s">
        <v>70</v>
      </c>
      <c r="B14" s="8"/>
      <c r="C14" s="8"/>
      <c r="D14" s="8"/>
      <c r="E14" s="8"/>
      <c r="H14" s="23">
        <f>H13</f>
        <v>2299.4333333333334</v>
      </c>
      <c r="I14" s="10">
        <f>I13*(1+'Data input'!$D$23/100)^I4</f>
        <v>2778.9813333333332</v>
      </c>
      <c r="J14" s="10">
        <f>J13*(1+'Data input'!$D$23/100)^J4</f>
        <v>3267.8903500000001</v>
      </c>
      <c r="K14" s="10">
        <f>K13*(1+'Data input'!$D$23/100)^K4</f>
        <v>3766.2996488666663</v>
      </c>
      <c r="L14" s="10">
        <f>L13*(1+'Data input'!$D$23/100)^L4</f>
        <v>4274.3503446756667</v>
      </c>
      <c r="M14" s="10">
        <f>M13*(1+'Data input'!$D$23/100)^M4</f>
        <v>4792.1854244359602</v>
      </c>
      <c r="N14" s="10">
        <f>N13*(1+'Data input'!$D$23/100)^N4</f>
        <v>5319.9497707569926</v>
      </c>
      <c r="O14" s="10">
        <f>O13*(1+'Data input'!$D$23/100)^O4</f>
        <v>5857.7901854619995</v>
      </c>
      <c r="P14" s="10">
        <f>P13*(1+'Data input'!$D$23/100)^P4</f>
        <v>6405.8554134840342</v>
      </c>
      <c r="Q14" s="10">
        <f>Q13*(1+'Data input'!$D$23/100)^Q4</f>
        <v>6964.2961670479626</v>
      </c>
      <c r="R14" s="10">
        <f>R13*(1+'Data input'!$D$23/100)^R4</f>
        <v>7533.2651501418204</v>
      </c>
    </row>
    <row r="15" spans="1:18" x14ac:dyDescent="0.3">
      <c r="A15" s="8"/>
      <c r="B15" s="8"/>
      <c r="C15" s="8"/>
      <c r="D15" s="8"/>
      <c r="E15" s="8"/>
      <c r="H15" s="23"/>
      <c r="I15" s="10"/>
      <c r="J15" s="10"/>
      <c r="K15" s="10"/>
      <c r="L15" s="10"/>
      <c r="M15" s="10"/>
    </row>
    <row r="16" spans="1:18" x14ac:dyDescent="0.3">
      <c r="A16" s="60" t="s">
        <v>104</v>
      </c>
      <c r="B16" s="60"/>
      <c r="C16" s="60"/>
      <c r="D16" s="60"/>
      <c r="E16" s="60"/>
      <c r="H16" s="23">
        <f>'Data input'!D37</f>
        <v>6397</v>
      </c>
      <c r="I16" s="10">
        <f>H16 +$O$23</f>
        <v>6317</v>
      </c>
      <c r="J16" s="10">
        <f>I16 +$O$23</f>
        <v>6237</v>
      </c>
      <c r="K16" s="10">
        <f t="shared" ref="K16:R16" si="6">J16 +$O$23</f>
        <v>6157</v>
      </c>
      <c r="L16" s="10">
        <f t="shared" si="6"/>
        <v>6077</v>
      </c>
      <c r="M16" s="10">
        <f t="shared" si="6"/>
        <v>5997</v>
      </c>
      <c r="N16" s="10">
        <f t="shared" si="6"/>
        <v>5917</v>
      </c>
      <c r="O16" s="10">
        <f t="shared" si="6"/>
        <v>5837</v>
      </c>
      <c r="P16" s="10">
        <f t="shared" si="6"/>
        <v>5757</v>
      </c>
      <c r="Q16" s="10">
        <f t="shared" si="6"/>
        <v>5677</v>
      </c>
      <c r="R16" s="10">
        <f t="shared" si="6"/>
        <v>5597</v>
      </c>
    </row>
    <row r="17" spans="1:18" x14ac:dyDescent="0.3">
      <c r="A17" s="60" t="s">
        <v>40</v>
      </c>
      <c r="B17" s="60"/>
      <c r="C17" s="60"/>
      <c r="D17" s="60"/>
      <c r="E17" s="60"/>
      <c r="H17" s="23">
        <f>H13-H16</f>
        <v>-4097.5666666666666</v>
      </c>
      <c r="I17" s="10">
        <f t="shared" ref="I17:R17" si="7">I13-I16</f>
        <v>-3565.5333333333333</v>
      </c>
      <c r="J17" s="10">
        <f t="shared" si="7"/>
        <v>-3033.5</v>
      </c>
      <c r="K17" s="10">
        <f t="shared" si="7"/>
        <v>-2501.4666666666667</v>
      </c>
      <c r="L17" s="10">
        <f t="shared" si="7"/>
        <v>-1969.4333333333334</v>
      </c>
      <c r="M17" s="10">
        <f t="shared" si="7"/>
        <v>-1437.3999999999996</v>
      </c>
      <c r="N17" s="10">
        <f t="shared" si="7"/>
        <v>-905.36666666666679</v>
      </c>
      <c r="O17" s="10">
        <f t="shared" si="7"/>
        <v>-373.33333333333303</v>
      </c>
      <c r="P17" s="10">
        <f t="shared" si="7"/>
        <v>158.69999999999982</v>
      </c>
      <c r="Q17" s="10">
        <f t="shared" si="7"/>
        <v>690.73333333333358</v>
      </c>
      <c r="R17" s="10">
        <f t="shared" si="7"/>
        <v>1222.7666666666664</v>
      </c>
    </row>
    <row r="18" spans="1:18" x14ac:dyDescent="0.3">
      <c r="A18" s="60" t="s">
        <v>41</v>
      </c>
      <c r="B18" s="60"/>
      <c r="C18" s="60"/>
      <c r="D18" s="60"/>
      <c r="E18" s="60"/>
      <c r="H18" s="23">
        <f>H17/'Data input'!$L$13</f>
        <v>-682.92777777777781</v>
      </c>
      <c r="I18" s="10">
        <f>I17/'Data input'!$L$13</f>
        <v>-594.25555555555559</v>
      </c>
      <c r="J18" s="10">
        <f>J17/'Data input'!$L$13</f>
        <v>-505.58333333333331</v>
      </c>
      <c r="K18" s="10">
        <f>K17/'Data input'!$L$13</f>
        <v>-416.9111111111111</v>
      </c>
      <c r="L18" s="10">
        <f>L17/'Data input'!$L$13</f>
        <v>-328.23888888888888</v>
      </c>
      <c r="M18" s="10">
        <f>M17/'Data input'!$L$13</f>
        <v>-239.56666666666661</v>
      </c>
      <c r="N18" s="10">
        <f>N17/'Data input'!$L$13</f>
        <v>-150.89444444444447</v>
      </c>
      <c r="O18" s="10">
        <f>O17/'Data input'!$L$13</f>
        <v>-62.222222222222172</v>
      </c>
      <c r="P18" s="10">
        <f>P17/'Data input'!$L$13</f>
        <v>26.449999999999971</v>
      </c>
      <c r="Q18" s="10">
        <f>Q17/'Data input'!$L$13</f>
        <v>115.12222222222226</v>
      </c>
      <c r="R18" s="10">
        <f>R17/'Data input'!$L$13</f>
        <v>203.79444444444439</v>
      </c>
    </row>
    <row r="19" spans="1:18" x14ac:dyDescent="0.3">
      <c r="A19" s="8" t="s">
        <v>42</v>
      </c>
      <c r="B19" s="8"/>
      <c r="C19" s="8"/>
      <c r="D19" s="8"/>
      <c r="E19" s="8"/>
      <c r="H19" s="23">
        <f>100*H16/H13</f>
        <v>278.1989765594422</v>
      </c>
      <c r="I19" s="10">
        <f t="shared" ref="I19:R19" si="8">100*I16/I13</f>
        <v>229.58664469858499</v>
      </c>
      <c r="J19" s="10">
        <f t="shared" si="8"/>
        <v>194.69330419853284</v>
      </c>
      <c r="K19" s="10">
        <f t="shared" si="8"/>
        <v>168.42959531668885</v>
      </c>
      <c r="L19" s="10">
        <f t="shared" si="8"/>
        <v>147.94647276976636</v>
      </c>
      <c r="M19" s="10">
        <f t="shared" si="8"/>
        <v>131.52469514869725</v>
      </c>
      <c r="N19" s="10">
        <f t="shared" si="8"/>
        <v>118.06530139874559</v>
      </c>
      <c r="O19" s="10">
        <f t="shared" si="8"/>
        <v>106.83301811969983</v>
      </c>
      <c r="P19" s="10">
        <f t="shared" si="8"/>
        <v>97.317308179927991</v>
      </c>
      <c r="Q19" s="10">
        <f t="shared" si="8"/>
        <v>89.15260270530591</v>
      </c>
      <c r="R19" s="10">
        <f t="shared" si="8"/>
        <v>82.070256558142262</v>
      </c>
    </row>
    <row r="21" spans="1:18" x14ac:dyDescent="0.3">
      <c r="A21" t="s">
        <v>60</v>
      </c>
    </row>
    <row r="22" spans="1:18" ht="15" thickBot="1" x14ac:dyDescent="0.35"/>
    <row r="23" spans="1:18" x14ac:dyDescent="0.3">
      <c r="F23" s="47" t="s">
        <v>71</v>
      </c>
      <c r="G23" s="47"/>
      <c r="H23" s="47"/>
      <c r="I23" s="1">
        <f>4*'Data input'!K13*'Data input'!L13</f>
        <v>120</v>
      </c>
      <c r="K23" s="80" t="s">
        <v>44</v>
      </c>
      <c r="L23" s="81"/>
      <c r="M23" s="81"/>
      <c r="N23" s="81"/>
      <c r="O23" s="78">
        <f>I23-I24</f>
        <v>-80</v>
      </c>
    </row>
    <row r="24" spans="1:18" ht="15" thickBot="1" x14ac:dyDescent="0.35">
      <c r="A24" s="47" t="s">
        <v>61</v>
      </c>
      <c r="B24" s="47"/>
      <c r="C24" s="47"/>
      <c r="D24" s="47"/>
      <c r="E24" s="47"/>
      <c r="F24" s="47"/>
      <c r="G24" s="47"/>
      <c r="H24" s="47"/>
      <c r="I24" s="16">
        <v>200</v>
      </c>
      <c r="J24" s="2"/>
      <c r="K24" s="82"/>
      <c r="L24" s="83"/>
      <c r="M24" s="83"/>
      <c r="N24" s="83"/>
      <c r="O24" s="79"/>
    </row>
    <row r="25" spans="1:18" x14ac:dyDescent="0.3">
      <c r="B25" s="2"/>
      <c r="C25" s="2"/>
    </row>
    <row r="26" spans="1:18" x14ac:dyDescent="0.3">
      <c r="D26" s="13"/>
    </row>
  </sheetData>
  <mergeCells count="18">
    <mergeCell ref="F1:J2"/>
    <mergeCell ref="K1:L2"/>
    <mergeCell ref="M1:M2"/>
    <mergeCell ref="C6:D6"/>
    <mergeCell ref="A17:E17"/>
    <mergeCell ref="G5:H5"/>
    <mergeCell ref="A9:B9"/>
    <mergeCell ref="A13:E13"/>
    <mergeCell ref="A16:E16"/>
    <mergeCell ref="A10:B10"/>
    <mergeCell ref="A11:B11"/>
    <mergeCell ref="G4:H4"/>
    <mergeCell ref="F23:H23"/>
    <mergeCell ref="A24:H24"/>
    <mergeCell ref="K23:N24"/>
    <mergeCell ref="O23:O24"/>
    <mergeCell ref="H6:R7"/>
    <mergeCell ref="A18:E1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0"/>
  <sheetViews>
    <sheetView topLeftCell="A17" workbookViewId="0">
      <selection activeCell="K33" sqref="K33"/>
    </sheetView>
  </sheetViews>
  <sheetFormatPr defaultRowHeight="14.4" x14ac:dyDescent="0.3"/>
  <sheetData>
    <row r="1" spans="1:19" ht="15" customHeight="1" x14ac:dyDescent="0.3">
      <c r="F1" s="50" t="s">
        <v>78</v>
      </c>
      <c r="G1" s="50"/>
      <c r="H1" s="50"/>
      <c r="I1" s="50"/>
      <c r="J1" s="50" t="str">
        <f>'Data input'!H4</f>
        <v xml:space="preserve">June </v>
      </c>
      <c r="K1" s="50"/>
      <c r="L1" s="50">
        <f>'Data input'!D4</f>
        <v>2019</v>
      </c>
    </row>
    <row r="2" spans="1:19" ht="14.4" customHeight="1" x14ac:dyDescent="0.3">
      <c r="F2" s="50"/>
      <c r="G2" s="50"/>
      <c r="H2" s="50"/>
      <c r="I2" s="50"/>
      <c r="J2" s="50"/>
      <c r="K2" s="50"/>
      <c r="L2" s="50"/>
    </row>
    <row r="4" spans="1:19" x14ac:dyDescent="0.3">
      <c r="G4" s="61" t="s">
        <v>1</v>
      </c>
      <c r="H4" s="61"/>
      <c r="I4" s="1">
        <v>1</v>
      </c>
      <c r="J4" s="1">
        <v>2</v>
      </c>
      <c r="K4" s="1">
        <v>3</v>
      </c>
      <c r="L4" s="1">
        <v>4</v>
      </c>
      <c r="M4" s="1">
        <f>L4+1</f>
        <v>5</v>
      </c>
      <c r="N4" s="1">
        <f t="shared" ref="N4:R5" si="0">M4+1</f>
        <v>6</v>
      </c>
      <c r="O4" s="1">
        <f t="shared" si="0"/>
        <v>7</v>
      </c>
      <c r="P4" s="1">
        <f t="shared" si="0"/>
        <v>8</v>
      </c>
      <c r="Q4" s="1">
        <f t="shared" si="0"/>
        <v>9</v>
      </c>
      <c r="R4" s="1">
        <f t="shared" si="0"/>
        <v>10</v>
      </c>
      <c r="S4" s="1"/>
    </row>
    <row r="5" spans="1:19" x14ac:dyDescent="0.3">
      <c r="E5" s="1" t="s">
        <v>14</v>
      </c>
      <c r="G5" s="61">
        <f>L1</f>
        <v>2019</v>
      </c>
      <c r="H5" s="61"/>
      <c r="I5" s="1">
        <f>G5+1</f>
        <v>2020</v>
      </c>
      <c r="J5" s="1">
        <f>I5+1</f>
        <v>2021</v>
      </c>
      <c r="K5" s="1">
        <f t="shared" ref="K5:M5" si="1">J5+1</f>
        <v>2022</v>
      </c>
      <c r="L5" s="1">
        <f t="shared" si="1"/>
        <v>2023</v>
      </c>
      <c r="M5" s="1">
        <f t="shared" si="1"/>
        <v>2024</v>
      </c>
      <c r="N5" s="1">
        <f t="shared" si="0"/>
        <v>2025</v>
      </c>
      <c r="O5" s="1">
        <f t="shared" si="0"/>
        <v>2026</v>
      </c>
      <c r="P5" s="1">
        <f t="shared" si="0"/>
        <v>2027</v>
      </c>
      <c r="Q5" s="1">
        <f t="shared" si="0"/>
        <v>2028</v>
      </c>
      <c r="R5" s="1">
        <f t="shared" si="0"/>
        <v>2029</v>
      </c>
      <c r="S5" s="1"/>
    </row>
    <row r="6" spans="1:19" ht="15" customHeight="1" x14ac:dyDescent="0.3">
      <c r="C6" s="52" t="s">
        <v>15</v>
      </c>
      <c r="D6" s="52"/>
      <c r="E6" t="s">
        <v>16</v>
      </c>
      <c r="F6" s="1" t="s">
        <v>17</v>
      </c>
      <c r="G6" s="26" t="s">
        <v>18</v>
      </c>
      <c r="H6" s="63" t="s">
        <v>128</v>
      </c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9" ht="15" customHeight="1" x14ac:dyDescent="0.3">
      <c r="E7" s="1" t="s">
        <v>21</v>
      </c>
      <c r="F7" s="1" t="s">
        <v>22</v>
      </c>
      <c r="G7" s="26" t="s">
        <v>23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9" x14ac:dyDescent="0.3">
      <c r="D8" t="s">
        <v>20</v>
      </c>
      <c r="E8" s="1"/>
      <c r="F8" s="1"/>
      <c r="G8" s="1"/>
      <c r="H8" s="1"/>
      <c r="I8" s="1"/>
      <c r="J8" s="1"/>
      <c r="K8" s="1"/>
      <c r="L8" s="1"/>
      <c r="M8" s="1"/>
    </row>
    <row r="9" spans="1:19" x14ac:dyDescent="0.3">
      <c r="A9" s="52" t="s">
        <v>77</v>
      </c>
      <c r="B9" s="52"/>
      <c r="C9" s="8"/>
      <c r="D9" s="8"/>
      <c r="E9" s="9"/>
      <c r="F9" s="9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x14ac:dyDescent="0.3">
      <c r="A10" s="47" t="s">
        <v>34</v>
      </c>
      <c r="B10" s="47"/>
      <c r="C10" s="15">
        <v>1140</v>
      </c>
      <c r="D10" t="s">
        <v>26</v>
      </c>
      <c r="E10" s="11">
        <f>C10*'Data input'!D9</f>
        <v>8550</v>
      </c>
      <c r="F10" s="11">
        <v>30</v>
      </c>
      <c r="G10" s="9">
        <f>12+$G$5-2019</f>
        <v>12</v>
      </c>
      <c r="H10" s="23">
        <f>$E$10*$G$10/$F$10</f>
        <v>3420</v>
      </c>
      <c r="I10" s="10">
        <f>$E$10*($G$10+I4)/$F$10</f>
        <v>3705</v>
      </c>
      <c r="J10" s="10">
        <f t="shared" ref="J10:R10" si="2">$E$10*($G$10+J4)/$F$10</f>
        <v>3990</v>
      </c>
      <c r="K10" s="10">
        <f t="shared" si="2"/>
        <v>4275</v>
      </c>
      <c r="L10" s="10">
        <f t="shared" si="2"/>
        <v>4560</v>
      </c>
      <c r="M10" s="10">
        <f t="shared" si="2"/>
        <v>4845</v>
      </c>
      <c r="N10" s="10">
        <f t="shared" si="2"/>
        <v>5130</v>
      </c>
      <c r="O10" s="10">
        <f t="shared" si="2"/>
        <v>5415</v>
      </c>
      <c r="P10" s="10">
        <f t="shared" si="2"/>
        <v>5700</v>
      </c>
      <c r="Q10" s="10">
        <f t="shared" si="2"/>
        <v>5985</v>
      </c>
      <c r="R10" s="10">
        <f t="shared" si="2"/>
        <v>6270</v>
      </c>
    </row>
    <row r="11" spans="1:19" x14ac:dyDescent="0.3">
      <c r="B11" s="2" t="s">
        <v>29</v>
      </c>
      <c r="C11" s="15">
        <v>1040</v>
      </c>
      <c r="D11" t="s">
        <v>26</v>
      </c>
      <c r="E11" s="11">
        <f>C11*'Data input'!D10</f>
        <v>6240</v>
      </c>
      <c r="F11" s="11">
        <v>25</v>
      </c>
      <c r="G11" s="9">
        <f>15+$G$5-2019</f>
        <v>15</v>
      </c>
      <c r="H11" s="23">
        <f>$E$11*$G$11/$F$11</f>
        <v>3744</v>
      </c>
      <c r="I11" s="10">
        <f>$E$11*($G$11+I4)/$F$11</f>
        <v>3993.6</v>
      </c>
      <c r="J11" s="10">
        <f t="shared" ref="J11:R11" si="3">$E$11*($G$11+J4)/$F$11</f>
        <v>4243.2</v>
      </c>
      <c r="K11" s="10">
        <f t="shared" si="3"/>
        <v>4492.8</v>
      </c>
      <c r="L11" s="10">
        <f t="shared" si="3"/>
        <v>4742.3999999999996</v>
      </c>
      <c r="M11" s="10">
        <f t="shared" si="3"/>
        <v>4992</v>
      </c>
      <c r="N11" s="10">
        <f t="shared" si="3"/>
        <v>5241.6000000000004</v>
      </c>
      <c r="O11" s="10">
        <f t="shared" si="3"/>
        <v>5491.2</v>
      </c>
      <c r="P11" s="10">
        <f t="shared" si="3"/>
        <v>5740.8</v>
      </c>
      <c r="Q11" s="10">
        <f t="shared" si="3"/>
        <v>5990.4</v>
      </c>
      <c r="R11" s="10">
        <f t="shared" si="3"/>
        <v>6240</v>
      </c>
    </row>
    <row r="12" spans="1:19" x14ac:dyDescent="0.3">
      <c r="B12" s="2" t="s">
        <v>35</v>
      </c>
      <c r="C12" s="15">
        <v>1140</v>
      </c>
      <c r="D12" t="s">
        <v>26</v>
      </c>
      <c r="E12" s="11">
        <f>C12*'Data input'!D8</f>
        <v>2280</v>
      </c>
      <c r="F12" s="11">
        <v>8</v>
      </c>
      <c r="G12" s="9">
        <f>3+$G$5-2019</f>
        <v>3</v>
      </c>
      <c r="H12" s="23">
        <f>$E$12*$G$12/$F$12</f>
        <v>855</v>
      </c>
      <c r="I12" s="10">
        <f>$E$12*(2+I4)/$F$12</f>
        <v>855</v>
      </c>
      <c r="J12" s="10">
        <f t="shared" ref="J12:R12" si="4">$E$12*(2+J4)/$F$12</f>
        <v>1140</v>
      </c>
      <c r="K12" s="10">
        <f t="shared" si="4"/>
        <v>1425</v>
      </c>
      <c r="L12" s="10">
        <f t="shared" si="4"/>
        <v>1710</v>
      </c>
      <c r="M12" s="10">
        <f t="shared" si="4"/>
        <v>1995</v>
      </c>
      <c r="N12" s="10">
        <f t="shared" si="4"/>
        <v>2280</v>
      </c>
      <c r="O12" s="10">
        <f t="shared" si="4"/>
        <v>2565</v>
      </c>
      <c r="P12" s="10">
        <f t="shared" si="4"/>
        <v>2850</v>
      </c>
      <c r="Q12" s="10">
        <f t="shared" si="4"/>
        <v>3135</v>
      </c>
      <c r="R12" s="10">
        <f t="shared" si="4"/>
        <v>3420</v>
      </c>
    </row>
    <row r="13" spans="1:19" x14ac:dyDescent="0.3">
      <c r="B13" s="2" t="s">
        <v>4</v>
      </c>
      <c r="C13" s="15">
        <v>100</v>
      </c>
      <c r="D13" t="s">
        <v>56</v>
      </c>
      <c r="E13" s="11">
        <f>C13*'Data input'!D11</f>
        <v>1100</v>
      </c>
      <c r="F13" s="11">
        <v>25</v>
      </c>
      <c r="G13" s="9">
        <f>20+$G$5-2019</f>
        <v>20</v>
      </c>
      <c r="H13" s="23">
        <f>$E$13*$G$13/$F$13</f>
        <v>880</v>
      </c>
      <c r="I13" s="10">
        <f>$E$13*($G$13+I4)/$F$13</f>
        <v>924</v>
      </c>
      <c r="J13" s="10">
        <f t="shared" ref="J13:R13" si="5">$E$13*($G$13+J4)/$F$13</f>
        <v>968</v>
      </c>
      <c r="K13" s="10">
        <f t="shared" si="5"/>
        <v>1012</v>
      </c>
      <c r="L13" s="10">
        <f t="shared" si="5"/>
        <v>1056</v>
      </c>
      <c r="M13" s="10">
        <f t="shared" si="5"/>
        <v>1100</v>
      </c>
      <c r="N13" s="10">
        <f t="shared" si="5"/>
        <v>1144</v>
      </c>
      <c r="O13" s="10">
        <f t="shared" si="5"/>
        <v>1188</v>
      </c>
      <c r="P13" s="10">
        <f t="shared" si="5"/>
        <v>1232</v>
      </c>
      <c r="Q13" s="10">
        <f t="shared" si="5"/>
        <v>1276</v>
      </c>
      <c r="R13" s="10">
        <f t="shared" si="5"/>
        <v>1320</v>
      </c>
    </row>
    <row r="14" spans="1:19" x14ac:dyDescent="0.3">
      <c r="B14" s="2" t="s">
        <v>32</v>
      </c>
      <c r="E14" s="11">
        <v>1000</v>
      </c>
      <c r="F14" s="11">
        <v>40</v>
      </c>
      <c r="G14" s="9">
        <f>4+$G$5-2019</f>
        <v>4</v>
      </c>
      <c r="H14" s="23">
        <v>0</v>
      </c>
      <c r="I14" s="10">
        <f>$E$14*($G$14+I4)/$F$14</f>
        <v>125</v>
      </c>
      <c r="J14" s="10">
        <f t="shared" ref="J14:R14" si="6">$E$14*($G$14+J4)/$F$14</f>
        <v>150</v>
      </c>
      <c r="K14" s="10">
        <f t="shared" si="6"/>
        <v>175</v>
      </c>
      <c r="L14" s="10">
        <f t="shared" si="6"/>
        <v>200</v>
      </c>
      <c r="M14" s="10">
        <f t="shared" si="6"/>
        <v>225</v>
      </c>
      <c r="N14" s="10">
        <f t="shared" si="6"/>
        <v>250</v>
      </c>
      <c r="O14" s="10">
        <f t="shared" si="6"/>
        <v>275</v>
      </c>
      <c r="P14" s="10">
        <f t="shared" si="6"/>
        <v>300</v>
      </c>
      <c r="Q14" s="10">
        <f t="shared" si="6"/>
        <v>325</v>
      </c>
      <c r="R14" s="10">
        <f t="shared" si="6"/>
        <v>350</v>
      </c>
    </row>
    <row r="15" spans="1:19" x14ac:dyDescent="0.3">
      <c r="B15" s="2"/>
      <c r="E15" s="11"/>
      <c r="F15" s="11"/>
      <c r="G15" s="9"/>
      <c r="H15" s="23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9" x14ac:dyDescent="0.3">
      <c r="A16" s="47" t="s">
        <v>69</v>
      </c>
      <c r="B16" s="47"/>
      <c r="C16" s="1">
        <v>4185</v>
      </c>
      <c r="D16" t="s">
        <v>26</v>
      </c>
      <c r="E16" s="11">
        <f>C16*'Data input'!D13</f>
        <v>6068.25</v>
      </c>
      <c r="F16" s="11">
        <v>20</v>
      </c>
      <c r="G16" s="9">
        <f>7+$G$5-2019</f>
        <v>7</v>
      </c>
      <c r="H16" s="23">
        <f>$E$16*$G$16/$F$16</f>
        <v>2123.8874999999998</v>
      </c>
      <c r="I16" s="10">
        <f t="shared" ref="I16:R16" si="7">$E$16*($G$16+I4)/$F$16</f>
        <v>2427.3000000000002</v>
      </c>
      <c r="J16" s="10">
        <f t="shared" si="7"/>
        <v>2730.7125000000001</v>
      </c>
      <c r="K16" s="10">
        <f t="shared" si="7"/>
        <v>3034.125</v>
      </c>
      <c r="L16" s="10">
        <f t="shared" si="7"/>
        <v>3337.5374999999999</v>
      </c>
      <c r="M16" s="10">
        <f t="shared" si="7"/>
        <v>3640.95</v>
      </c>
      <c r="N16" s="10">
        <f t="shared" si="7"/>
        <v>3944.3625000000002</v>
      </c>
      <c r="O16" s="10">
        <f t="shared" si="7"/>
        <v>4247.7749999999996</v>
      </c>
      <c r="P16" s="10">
        <f t="shared" si="7"/>
        <v>4551.1875</v>
      </c>
      <c r="Q16" s="10">
        <f t="shared" si="7"/>
        <v>4854.6000000000004</v>
      </c>
      <c r="R16" s="10">
        <f t="shared" si="7"/>
        <v>5158.0124999999998</v>
      </c>
      <c r="S16" s="10"/>
    </row>
    <row r="17" spans="1:19" x14ac:dyDescent="0.3">
      <c r="A17" s="47" t="s">
        <v>57</v>
      </c>
      <c r="B17" s="47"/>
      <c r="C17" s="1">
        <v>75</v>
      </c>
      <c r="D17" t="s">
        <v>56</v>
      </c>
      <c r="E17" s="11">
        <f>C17*'Data input'!D12</f>
        <v>1050</v>
      </c>
      <c r="F17" s="11">
        <v>30</v>
      </c>
      <c r="G17" s="9">
        <f>3+$G$5-2019</f>
        <v>3</v>
      </c>
      <c r="H17" s="23">
        <f>$E$17*$G$17/$F$17</f>
        <v>105</v>
      </c>
      <c r="I17" s="10">
        <f t="shared" ref="I17:R17" si="8">$E$17*($G$17+I4)/$F$17</f>
        <v>140</v>
      </c>
      <c r="J17" s="10">
        <f t="shared" si="8"/>
        <v>175</v>
      </c>
      <c r="K17" s="10">
        <f t="shared" si="8"/>
        <v>210</v>
      </c>
      <c r="L17" s="10">
        <f t="shared" si="8"/>
        <v>245</v>
      </c>
      <c r="M17" s="10">
        <f t="shared" si="8"/>
        <v>280</v>
      </c>
      <c r="N17" s="10">
        <f t="shared" si="8"/>
        <v>315</v>
      </c>
      <c r="O17" s="10">
        <f t="shared" si="8"/>
        <v>350</v>
      </c>
      <c r="P17" s="10">
        <f t="shared" si="8"/>
        <v>385</v>
      </c>
      <c r="Q17" s="10">
        <f t="shared" si="8"/>
        <v>420</v>
      </c>
      <c r="R17" s="10">
        <f t="shared" si="8"/>
        <v>455</v>
      </c>
      <c r="S17" s="10"/>
    </row>
    <row r="18" spans="1:19" x14ac:dyDescent="0.3">
      <c r="A18" s="47" t="s">
        <v>58</v>
      </c>
      <c r="B18" s="47"/>
      <c r="C18" s="1">
        <v>3</v>
      </c>
      <c r="D18" t="s">
        <v>68</v>
      </c>
      <c r="E18" s="11">
        <f>C18*'Data input'!D19</f>
        <v>360</v>
      </c>
      <c r="F18" s="11">
        <v>15</v>
      </c>
      <c r="G18" s="9">
        <f>3+$G$5-2019</f>
        <v>3</v>
      </c>
      <c r="H18" s="23">
        <f>$E18*$G$18/$F$18</f>
        <v>72</v>
      </c>
      <c r="I18" s="10">
        <f t="shared" ref="I18:R18" si="9">$E18*($G$18+I4)/$F$18</f>
        <v>96</v>
      </c>
      <c r="J18" s="10">
        <f t="shared" si="9"/>
        <v>120</v>
      </c>
      <c r="K18" s="10">
        <f t="shared" si="9"/>
        <v>144</v>
      </c>
      <c r="L18" s="10">
        <f t="shared" si="9"/>
        <v>168</v>
      </c>
      <c r="M18" s="10">
        <f t="shared" si="9"/>
        <v>192</v>
      </c>
      <c r="N18" s="10">
        <f t="shared" si="9"/>
        <v>216</v>
      </c>
      <c r="O18" s="10">
        <f t="shared" si="9"/>
        <v>240</v>
      </c>
      <c r="P18" s="10">
        <f t="shared" si="9"/>
        <v>264</v>
      </c>
      <c r="Q18" s="10">
        <f t="shared" si="9"/>
        <v>288</v>
      </c>
      <c r="R18" s="10">
        <f t="shared" si="9"/>
        <v>312</v>
      </c>
      <c r="S18" s="10"/>
    </row>
    <row r="19" spans="1:19" x14ac:dyDescent="0.3">
      <c r="H19" s="23"/>
      <c r="I19" s="10"/>
      <c r="J19" s="10"/>
      <c r="K19" s="10"/>
      <c r="L19" s="10"/>
    </row>
    <row r="20" spans="1:19" x14ac:dyDescent="0.3">
      <c r="A20" s="60" t="s">
        <v>38</v>
      </c>
      <c r="B20" s="60"/>
      <c r="C20" s="60"/>
      <c r="D20" s="60"/>
      <c r="E20" s="60"/>
      <c r="H20" s="23">
        <f>SUM(H9:H17)</f>
        <v>11127.887500000001</v>
      </c>
      <c r="I20" s="10">
        <f t="shared" ref="I20:R20" si="10">SUM(I9:I17)</f>
        <v>12169.900000000001</v>
      </c>
      <c r="J20" s="10">
        <f t="shared" si="10"/>
        <v>13396.9125</v>
      </c>
      <c r="K20" s="10">
        <f t="shared" si="10"/>
        <v>14623.924999999999</v>
      </c>
      <c r="L20" s="10">
        <f t="shared" si="10"/>
        <v>15850.9375</v>
      </c>
      <c r="M20" s="10">
        <f t="shared" si="10"/>
        <v>17077.95</v>
      </c>
      <c r="N20" s="10">
        <f t="shared" si="10"/>
        <v>18304.962500000001</v>
      </c>
      <c r="O20" s="10">
        <f t="shared" si="10"/>
        <v>19531.974999999999</v>
      </c>
      <c r="P20" s="10">
        <f t="shared" si="10"/>
        <v>20758.987499999999</v>
      </c>
      <c r="Q20" s="10">
        <f t="shared" si="10"/>
        <v>21986</v>
      </c>
      <c r="R20" s="10">
        <f t="shared" si="10"/>
        <v>23213.012500000001</v>
      </c>
      <c r="S20" s="10"/>
    </row>
    <row r="21" spans="1:19" x14ac:dyDescent="0.3">
      <c r="A21" t="s">
        <v>59</v>
      </c>
      <c r="H21" s="23">
        <f>SUM(H9:H18)</f>
        <v>11199.887500000001</v>
      </c>
      <c r="I21" s="10">
        <f>I20*(1+'Data input'!$D$23/100)^I4</f>
        <v>12291.599000000002</v>
      </c>
      <c r="J21" s="10">
        <f>J20*(1+'Data input'!$D$23/100)^J4</f>
        <v>13666.190441250001</v>
      </c>
      <c r="K21" s="10">
        <f>K20*(1+'Data input'!$D$23/100)^K4</f>
        <v>15067.044551424999</v>
      </c>
      <c r="L21" s="10">
        <f>L20*(1+'Data input'!$D$23/100)^L4</f>
        <v>16494.549124759375</v>
      </c>
      <c r="M21" s="10">
        <f>M20*(1+'Data input'!$D$23/100)^M4</f>
        <v>17949.097085105295</v>
      </c>
      <c r="N21" s="10">
        <f>N20*(1+'Data input'!$D$23/100)^N4</f>
        <v>19431.086549745662</v>
      </c>
      <c r="O21" s="10">
        <f>O20*(1+'Data input'!$D$23/100)^O4</f>
        <v>20940.920893970313</v>
      </c>
      <c r="P21" s="10">
        <f>P20*(1+'Data input'!$D$23/100)^P4</f>
        <v>22479.008816424495</v>
      </c>
      <c r="Q21" s="10">
        <f>Q20*(1+'Data input'!$D$23/100)^Q4</f>
        <v>24045.764405238362</v>
      </c>
      <c r="R21" s="10">
        <f>R20*(1+'Data input'!$D$23/100)^R4</f>
        <v>25641.607204946864</v>
      </c>
    </row>
    <row r="22" spans="1:19" x14ac:dyDescent="0.3">
      <c r="A22" s="8"/>
      <c r="B22" s="8"/>
      <c r="C22" s="8"/>
      <c r="D22" s="8"/>
      <c r="E22" s="8"/>
      <c r="H22" s="3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3">
      <c r="A23" s="60" t="s">
        <v>104</v>
      </c>
      <c r="B23" s="60"/>
      <c r="C23" s="60"/>
      <c r="D23" s="60"/>
      <c r="E23" s="60"/>
      <c r="G23" s="10"/>
      <c r="H23" s="23">
        <f>'Data input'!D38</f>
        <v>4330</v>
      </c>
      <c r="I23" s="10">
        <f>H23+$P$28</f>
        <v>5951</v>
      </c>
      <c r="J23" s="10">
        <f>I23+$P$28</f>
        <v>7572</v>
      </c>
      <c r="K23" s="10">
        <f t="shared" ref="K23:R23" si="11">J23+$P$28</f>
        <v>9193</v>
      </c>
      <c r="L23" s="10">
        <f t="shared" si="11"/>
        <v>10814</v>
      </c>
      <c r="M23" s="10">
        <f t="shared" si="11"/>
        <v>12435</v>
      </c>
      <c r="N23" s="10">
        <f t="shared" si="11"/>
        <v>14056</v>
      </c>
      <c r="O23" s="10">
        <f t="shared" si="11"/>
        <v>15677</v>
      </c>
      <c r="P23" s="10">
        <f t="shared" si="11"/>
        <v>17298</v>
      </c>
      <c r="Q23" s="10">
        <f t="shared" si="11"/>
        <v>18919</v>
      </c>
      <c r="R23" s="10">
        <f t="shared" si="11"/>
        <v>20540</v>
      </c>
      <c r="S23" s="10"/>
    </row>
    <row r="24" spans="1:19" x14ac:dyDescent="0.3">
      <c r="A24" s="60" t="s">
        <v>40</v>
      </c>
      <c r="B24" s="60"/>
      <c r="C24" s="60"/>
      <c r="D24" s="60"/>
      <c r="E24" s="60"/>
      <c r="H24" s="23">
        <f>H20-H23</f>
        <v>6797.8875000000007</v>
      </c>
      <c r="I24" s="10">
        <f>I20-I23</f>
        <v>6218.9000000000015</v>
      </c>
      <c r="J24" s="10">
        <f t="shared" ref="J24:R24" si="12">J20-J23</f>
        <v>5824.9125000000004</v>
      </c>
      <c r="K24" s="10">
        <f t="shared" si="12"/>
        <v>5430.9249999999993</v>
      </c>
      <c r="L24" s="10">
        <f t="shared" si="12"/>
        <v>5036.9375</v>
      </c>
      <c r="M24" s="10">
        <f t="shared" si="12"/>
        <v>4642.9500000000007</v>
      </c>
      <c r="N24" s="10">
        <f t="shared" si="12"/>
        <v>4248.9625000000015</v>
      </c>
      <c r="O24" s="10">
        <f t="shared" si="12"/>
        <v>3854.9749999999985</v>
      </c>
      <c r="P24" s="10">
        <f t="shared" si="12"/>
        <v>3460.9874999999993</v>
      </c>
      <c r="Q24" s="10">
        <f t="shared" si="12"/>
        <v>3067</v>
      </c>
      <c r="R24" s="10">
        <f t="shared" si="12"/>
        <v>2673.0125000000007</v>
      </c>
      <c r="S24" s="10"/>
    </row>
    <row r="25" spans="1:19" x14ac:dyDescent="0.3">
      <c r="A25" s="60" t="s">
        <v>41</v>
      </c>
      <c r="B25" s="60"/>
      <c r="C25" s="60"/>
      <c r="D25" s="60"/>
      <c r="E25" s="60"/>
      <c r="H25" s="23">
        <f>H24/'Data input'!$L$14</f>
        <v>2265.9625000000001</v>
      </c>
      <c r="I25" s="10">
        <f>I24/'Data input'!$L$14</f>
        <v>2072.9666666666672</v>
      </c>
      <c r="J25" s="10">
        <f>J24/'Data input'!$L$14</f>
        <v>1941.6375</v>
      </c>
      <c r="K25" s="10">
        <f>K24/'Data input'!$L$14</f>
        <v>1810.3083333333332</v>
      </c>
      <c r="L25" s="10">
        <f>L24/'Data input'!$L$14</f>
        <v>1678.9791666666667</v>
      </c>
      <c r="M25" s="10">
        <f>M24/'Data input'!$L$14</f>
        <v>1547.6500000000003</v>
      </c>
      <c r="N25" s="10">
        <f>N24/'Data input'!$L$14</f>
        <v>1416.3208333333339</v>
      </c>
      <c r="O25" s="10">
        <f>O24/'Data input'!$L$14</f>
        <v>1284.9916666666661</v>
      </c>
      <c r="P25" s="10">
        <f>P24/'Data input'!$L$14</f>
        <v>1153.6624999999997</v>
      </c>
      <c r="Q25" s="10">
        <f>Q24/'Data input'!$L$14</f>
        <v>1022.3333333333334</v>
      </c>
      <c r="R25" s="10">
        <f>R24/'Data input'!$L$14</f>
        <v>891.00416666666695</v>
      </c>
      <c r="S25" s="10"/>
    </row>
    <row r="26" spans="1:19" x14ac:dyDescent="0.3">
      <c r="A26" s="8" t="s">
        <v>42</v>
      </c>
      <c r="B26" s="8"/>
      <c r="C26" s="8"/>
      <c r="D26" s="8"/>
      <c r="E26" s="8"/>
      <c r="H26" s="23">
        <f>100*H23/H21</f>
        <v>38.661102622682591</v>
      </c>
      <c r="I26" s="10">
        <f>100*I23/I20</f>
        <v>48.899333601755146</v>
      </c>
      <c r="J26" s="10">
        <f t="shared" ref="J26:R26" si="13">100*J23/J20</f>
        <v>56.520485596961237</v>
      </c>
      <c r="K26" s="10">
        <f t="shared" si="13"/>
        <v>62.862740338178703</v>
      </c>
      <c r="L26" s="10">
        <f t="shared" si="13"/>
        <v>68.223094059893938</v>
      </c>
      <c r="M26" s="10">
        <f t="shared" si="13"/>
        <v>72.81318893661124</v>
      </c>
      <c r="N26" s="10">
        <f t="shared" si="13"/>
        <v>76.787920215624581</v>
      </c>
      <c r="O26" s="10">
        <f t="shared" si="13"/>
        <v>80.263260627765504</v>
      </c>
      <c r="P26" s="10">
        <f t="shared" si="13"/>
        <v>83.327763456671477</v>
      </c>
      <c r="Q26" s="10">
        <f t="shared" si="13"/>
        <v>86.050213772400625</v>
      </c>
      <c r="R26" s="10">
        <f t="shared" si="13"/>
        <v>88.484853053863645</v>
      </c>
      <c r="S26" s="10"/>
    </row>
    <row r="27" spans="1:19" ht="15" thickBot="1" x14ac:dyDescent="0.35"/>
    <row r="28" spans="1:19" x14ac:dyDescent="0.3">
      <c r="E28" s="47" t="s">
        <v>79</v>
      </c>
      <c r="F28" s="47"/>
      <c r="G28" s="47"/>
      <c r="H28" s="1">
        <f>4*('Data input'!K14*'Data input'!L14+'Data input'!K15)</f>
        <v>1776</v>
      </c>
      <c r="L28" s="74" t="s">
        <v>80</v>
      </c>
      <c r="M28" s="75"/>
      <c r="N28" s="75"/>
      <c r="O28" s="75"/>
      <c r="P28" s="78">
        <f>H28-H29-H30</f>
        <v>1621</v>
      </c>
    </row>
    <row r="29" spans="1:19" ht="15" thickBot="1" x14ac:dyDescent="0.35">
      <c r="B29" s="47" t="s">
        <v>131</v>
      </c>
      <c r="C29" s="47"/>
      <c r="D29" s="47"/>
      <c r="E29" s="47"/>
      <c r="F29" s="47"/>
      <c r="G29" s="47"/>
      <c r="H29" s="16">
        <f>4*'Data input'!K16</f>
        <v>80</v>
      </c>
      <c r="L29" s="76"/>
      <c r="M29" s="77"/>
      <c r="N29" s="77"/>
      <c r="O29" s="77"/>
      <c r="P29" s="79"/>
    </row>
    <row r="30" spans="1:19" x14ac:dyDescent="0.3">
      <c r="B30" s="47" t="s">
        <v>75</v>
      </c>
      <c r="C30" s="47"/>
      <c r="D30" s="47"/>
      <c r="E30" s="47"/>
      <c r="F30" s="47"/>
      <c r="G30" s="47"/>
      <c r="H30" s="16">
        <v>75</v>
      </c>
      <c r="K30" s="11"/>
      <c r="P30" s="9"/>
    </row>
    <row r="31" spans="1:19" x14ac:dyDescent="0.3">
      <c r="H31" s="1"/>
      <c r="K31" s="9"/>
      <c r="P31" s="9"/>
    </row>
    <row r="32" spans="1:19" x14ac:dyDescent="0.3">
      <c r="B32" s="2"/>
      <c r="C32" s="2"/>
      <c r="D32" s="2"/>
      <c r="E32" s="2"/>
      <c r="F32" s="47"/>
      <c r="G32" s="47"/>
      <c r="H32" s="1"/>
      <c r="I32" s="2"/>
      <c r="J32" s="2"/>
      <c r="K32" s="9"/>
    </row>
    <row r="33" spans="2:5" x14ac:dyDescent="0.3">
      <c r="B33" s="13"/>
      <c r="C33" s="13"/>
      <c r="D33" s="13"/>
    </row>
    <row r="38" spans="2:5" x14ac:dyDescent="0.3">
      <c r="E38" s="2"/>
    </row>
    <row r="39" spans="2:5" x14ac:dyDescent="0.3">
      <c r="E39" s="9"/>
    </row>
    <row r="40" spans="2:5" x14ac:dyDescent="0.3">
      <c r="E40" s="9"/>
    </row>
  </sheetData>
  <mergeCells count="22">
    <mergeCell ref="A24:E24"/>
    <mergeCell ref="C6:D6"/>
    <mergeCell ref="A10:B10"/>
    <mergeCell ref="A16:B16"/>
    <mergeCell ref="A17:B17"/>
    <mergeCell ref="A18:B18"/>
    <mergeCell ref="L28:O29"/>
    <mergeCell ref="P28:P29"/>
    <mergeCell ref="F32:G32"/>
    <mergeCell ref="F1:I2"/>
    <mergeCell ref="J1:K2"/>
    <mergeCell ref="L1:L2"/>
    <mergeCell ref="H6:R7"/>
    <mergeCell ref="G4:H4"/>
    <mergeCell ref="B30:G30"/>
    <mergeCell ref="A25:E25"/>
    <mergeCell ref="E28:G28"/>
    <mergeCell ref="B29:G29"/>
    <mergeCell ref="G5:H5"/>
    <mergeCell ref="A9:B9"/>
    <mergeCell ref="A20:E20"/>
    <mergeCell ref="A23:E2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 input</vt:lpstr>
      <vt:lpstr>General</vt:lpstr>
      <vt:lpstr>LCA 1</vt:lpstr>
      <vt:lpstr>LCA 2</vt:lpstr>
      <vt:lpstr>LCA 3 carport</vt:lpstr>
      <vt:lpstr>LCA 3 other</vt:lpstr>
      <vt:lpstr>LCA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Orchard</dc:creator>
  <cp:lastModifiedBy>worchard@peak.org</cp:lastModifiedBy>
  <cp:lastPrinted>2019-07-15T20:51:17Z</cp:lastPrinted>
  <dcterms:created xsi:type="dcterms:W3CDTF">2015-06-27T04:48:11Z</dcterms:created>
  <dcterms:modified xsi:type="dcterms:W3CDTF">2019-07-15T21:03:41Z</dcterms:modified>
</cp:coreProperties>
</file>