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20" tabRatio="655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45621"/>
</workbook>
</file>

<file path=xl/calcChain.xml><?xml version="1.0" encoding="utf-8"?>
<calcChain xmlns="http://schemas.openxmlformats.org/spreadsheetml/2006/main">
  <c r="O34" i="1" l="1"/>
  <c r="O32" i="1"/>
  <c r="H16" i="7"/>
  <c r="I38" i="1"/>
  <c r="J12" i="8" l="1"/>
  <c r="K12" i="8"/>
  <c r="L12" i="8"/>
  <c r="M12" i="8"/>
  <c r="N12" i="8"/>
  <c r="O12" i="8"/>
  <c r="P12" i="8"/>
  <c r="Q12" i="8"/>
  <c r="R12" i="8"/>
  <c r="I12" i="8"/>
  <c r="J11" i="6"/>
  <c r="K11" i="6"/>
  <c r="L11" i="6"/>
  <c r="M11" i="6"/>
  <c r="N11" i="6"/>
  <c r="O11" i="6"/>
  <c r="P11" i="6"/>
  <c r="Q11" i="6"/>
  <c r="R11" i="6"/>
  <c r="I11" i="6"/>
  <c r="J12" i="3"/>
  <c r="K12" i="3"/>
  <c r="L12" i="3"/>
  <c r="M12" i="3"/>
  <c r="N12" i="3"/>
  <c r="O12" i="3"/>
  <c r="P12" i="3"/>
  <c r="Q12" i="3"/>
  <c r="R12" i="3"/>
  <c r="I12" i="3"/>
  <c r="J11" i="4"/>
  <c r="K11" i="4"/>
  <c r="L11" i="4"/>
  <c r="M11" i="4"/>
  <c r="N11" i="4"/>
  <c r="O11" i="4"/>
  <c r="P11" i="4"/>
  <c r="Q11" i="4"/>
  <c r="R11" i="4"/>
  <c r="I11" i="4"/>
  <c r="K9" i="7" l="1"/>
  <c r="L9" i="7"/>
  <c r="M9" i="7"/>
  <c r="N9" i="7"/>
  <c r="O9" i="7"/>
  <c r="P9" i="7"/>
  <c r="Q9" i="7"/>
  <c r="R9" i="7"/>
  <c r="J9" i="7"/>
  <c r="I9" i="7"/>
  <c r="J15" i="4"/>
  <c r="K15" i="4"/>
  <c r="L15" i="4"/>
  <c r="M15" i="4"/>
  <c r="N15" i="4"/>
  <c r="O15" i="4"/>
  <c r="P15" i="4"/>
  <c r="Q15" i="4"/>
  <c r="R15" i="4"/>
  <c r="I15" i="4"/>
  <c r="H15" i="4"/>
  <c r="J16" i="3"/>
  <c r="K16" i="3"/>
  <c r="L16" i="3"/>
  <c r="M16" i="3"/>
  <c r="N16" i="3"/>
  <c r="O16" i="3"/>
  <c r="P16" i="3"/>
  <c r="Q16" i="3"/>
  <c r="R16" i="3"/>
  <c r="I16" i="3"/>
  <c r="H23" i="8"/>
  <c r="I16" i="7"/>
  <c r="H18" i="6"/>
  <c r="H22" i="4"/>
  <c r="I23" i="3"/>
  <c r="H23" i="3"/>
  <c r="H30" i="2"/>
  <c r="G5" i="3" l="1"/>
  <c r="M16" i="2" l="1"/>
  <c r="N16" i="2"/>
  <c r="O16" i="2"/>
  <c r="P16" i="2"/>
  <c r="Q16" i="2"/>
  <c r="R16" i="2"/>
  <c r="L16" i="2"/>
  <c r="K16" i="2"/>
  <c r="J16" i="2"/>
  <c r="J28" i="4" l="1"/>
  <c r="E17" i="4"/>
  <c r="E16" i="4"/>
  <c r="I16" i="2" l="1"/>
  <c r="H28" i="8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J18" i="2"/>
  <c r="K18" i="2"/>
  <c r="L18" i="2"/>
  <c r="M18" i="2"/>
  <c r="N18" i="2"/>
  <c r="O18" i="2"/>
  <c r="P18" i="2"/>
  <c r="Q18" i="2"/>
  <c r="R18" i="2"/>
  <c r="I18" i="2"/>
  <c r="H18" i="2"/>
  <c r="E18" i="2"/>
  <c r="C12" i="2"/>
  <c r="E12" i="2" s="1"/>
  <c r="D30" i="1" l="1"/>
  <c r="P28" i="8" l="1"/>
  <c r="H28" i="3"/>
  <c r="P29" i="3" s="1"/>
  <c r="J14" i="8"/>
  <c r="K14" i="8"/>
  <c r="L14" i="8"/>
  <c r="I14" i="8"/>
  <c r="E13" i="8"/>
  <c r="E12" i="8"/>
  <c r="E11" i="8"/>
  <c r="E10" i="8"/>
  <c r="G5" i="8"/>
  <c r="L1" i="8"/>
  <c r="J1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23" i="3" l="1"/>
  <c r="K23" i="3" s="1"/>
  <c r="L23" i="3" s="1"/>
  <c r="M23" i="3" s="1"/>
  <c r="N23" i="3" s="1"/>
  <c r="O23" i="3" s="1"/>
  <c r="P23" i="3" s="1"/>
  <c r="Q23" i="3" s="1"/>
  <c r="R23" i="3" s="1"/>
  <c r="I23" i="8"/>
  <c r="J23" i="8" s="1"/>
  <c r="K23" i="8" s="1"/>
  <c r="L23" i="8" s="1"/>
  <c r="M23" i="8" s="1"/>
  <c r="N23" i="8" s="1"/>
  <c r="O23" i="8" s="1"/>
  <c r="P23" i="8" s="1"/>
  <c r="Q23" i="8" s="1"/>
  <c r="R23" i="8" s="1"/>
  <c r="G13" i="8"/>
  <c r="K13" i="8" s="1"/>
  <c r="M14" i="8"/>
  <c r="G11" i="8"/>
  <c r="H11" i="8" s="1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I13" i="8"/>
  <c r="N4" i="8"/>
  <c r="N14" i="8" s="1"/>
  <c r="M16" i="8"/>
  <c r="M17" i="8"/>
  <c r="L13" i="8" l="1"/>
  <c r="L20" i="8" s="1"/>
  <c r="L21" i="8" s="1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K20" i="8" l="1"/>
  <c r="K21" i="8" s="1"/>
  <c r="M20" i="8"/>
  <c r="M21" i="8" s="1"/>
  <c r="J20" i="8"/>
  <c r="I20" i="8"/>
  <c r="I21" i="8" s="1"/>
  <c r="I26" i="8" s="1"/>
  <c r="H21" i="8"/>
  <c r="H26" i="8" s="1"/>
  <c r="H20" i="8"/>
  <c r="K26" i="8"/>
  <c r="L26" i="8"/>
  <c r="K24" i="8"/>
  <c r="K25" i="8" s="1"/>
  <c r="N20" i="8"/>
  <c r="N21" i="8" s="1"/>
  <c r="J21" i="8"/>
  <c r="O14" i="8"/>
  <c r="O13" i="8"/>
  <c r="O11" i="8"/>
  <c r="O10" i="8"/>
  <c r="O18" i="8"/>
  <c r="O17" i="8"/>
  <c r="O16" i="8"/>
  <c r="P4" i="8"/>
  <c r="H24" i="8" l="1"/>
  <c r="H25" i="8" s="1"/>
  <c r="I24" i="8"/>
  <c r="I25" i="8" s="1"/>
  <c r="J24" i="8"/>
  <c r="J25" i="8" s="1"/>
  <c r="J26" i="8"/>
  <c r="M26" i="8"/>
  <c r="L24" i="8"/>
  <c r="L25" i="8" s="1"/>
  <c r="P14" i="8"/>
  <c r="P10" i="8"/>
  <c r="P13" i="8"/>
  <c r="P11" i="8"/>
  <c r="P18" i="8"/>
  <c r="P17" i="8"/>
  <c r="P16" i="8"/>
  <c r="Q4" i="8"/>
  <c r="O20" i="8"/>
  <c r="O21" i="8" s="1"/>
  <c r="N26" i="8" l="1"/>
  <c r="M24" i="8"/>
  <c r="M25" i="8" s="1"/>
  <c r="P20" i="8"/>
  <c r="P21" i="8" s="1"/>
  <c r="Q14" i="8"/>
  <c r="Q11" i="8"/>
  <c r="Q13" i="8"/>
  <c r="Q10" i="8"/>
  <c r="Q18" i="8"/>
  <c r="Q17" i="8"/>
  <c r="Q16" i="8"/>
  <c r="R4" i="8"/>
  <c r="O26" i="8" l="1"/>
  <c r="N24" i="8"/>
  <c r="N25" i="8" s="1"/>
  <c r="Q20" i="8"/>
  <c r="Q21" i="8" s="1"/>
  <c r="R14" i="8"/>
  <c r="R13" i="8"/>
  <c r="R11" i="8"/>
  <c r="R10" i="8"/>
  <c r="R18" i="8"/>
  <c r="R17" i="8"/>
  <c r="R16" i="8"/>
  <c r="P26" i="8" l="1"/>
  <c r="O24" i="8"/>
  <c r="R20" i="8"/>
  <c r="R21" i="8" s="1"/>
  <c r="O25" i="8"/>
  <c r="Q26" i="8" l="1"/>
  <c r="P24" i="8"/>
  <c r="P25" i="8" s="1"/>
  <c r="R26" i="8" l="1"/>
  <c r="Q24" i="8"/>
  <c r="Q25" i="8" s="1"/>
  <c r="R24" i="8" l="1"/>
  <c r="R25" i="8" s="1"/>
  <c r="I23" i="7" l="1"/>
  <c r="O23" i="7" s="1"/>
  <c r="G5" i="7"/>
  <c r="I5" i="7" s="1"/>
  <c r="J5" i="7" s="1"/>
  <c r="K5" i="7" s="1"/>
  <c r="L5" i="7" s="1"/>
  <c r="M5" i="7" s="1"/>
  <c r="N5" i="7" s="1"/>
  <c r="O5" i="7" s="1"/>
  <c r="P5" i="7" s="1"/>
  <c r="Q5" i="7" s="1"/>
  <c r="R5" i="7" s="1"/>
  <c r="M1" i="7"/>
  <c r="K1" i="7"/>
  <c r="M4" i="7"/>
  <c r="J16" i="7" l="1"/>
  <c r="K16" i="7" s="1"/>
  <c r="L16" i="7" s="1"/>
  <c r="M16" i="7" s="1"/>
  <c r="N16" i="7" s="1"/>
  <c r="O16" i="7" s="1"/>
  <c r="P16" i="7" s="1"/>
  <c r="Q16" i="7" s="1"/>
  <c r="R16" i="7" s="1"/>
  <c r="H9" i="7"/>
  <c r="G11" i="7"/>
  <c r="I11" i="7" s="1"/>
  <c r="G10" i="7"/>
  <c r="I10" i="7" s="1"/>
  <c r="K11" i="7"/>
  <c r="N4" i="7"/>
  <c r="J11" i="7"/>
  <c r="N11" i="7" l="1"/>
  <c r="H10" i="7"/>
  <c r="L10" i="7"/>
  <c r="K10" i="7"/>
  <c r="N10" i="7"/>
  <c r="N13" i="7" s="1"/>
  <c r="N14" i="7" s="1"/>
  <c r="J10" i="7"/>
  <c r="J13" i="7" s="1"/>
  <c r="J19" i="7" s="1"/>
  <c r="M10" i="7"/>
  <c r="L11" i="7"/>
  <c r="H11" i="7"/>
  <c r="M11" i="7"/>
  <c r="I13" i="7"/>
  <c r="I19" i="7" s="1"/>
  <c r="K13" i="7"/>
  <c r="K19" i="7" s="1"/>
  <c r="O4" i="7"/>
  <c r="H13" i="7" l="1"/>
  <c r="H14" i="7" s="1"/>
  <c r="M13" i="7"/>
  <c r="M14" i="7" s="1"/>
  <c r="L13" i="7"/>
  <c r="L14" i="7" s="1"/>
  <c r="K17" i="7"/>
  <c r="K18" i="7" s="1"/>
  <c r="K14" i="7"/>
  <c r="I17" i="7"/>
  <c r="I18" i="7" s="1"/>
  <c r="I14" i="7"/>
  <c r="J17" i="7"/>
  <c r="J18" i="7" s="1"/>
  <c r="J14" i="7"/>
  <c r="P4" i="7"/>
  <c r="O11" i="7"/>
  <c r="O10" i="7"/>
  <c r="H17" i="7" l="1"/>
  <c r="H18" i="7" s="1"/>
  <c r="H19" i="7"/>
  <c r="L17" i="7"/>
  <c r="L18" i="7" s="1"/>
  <c r="L19" i="7"/>
  <c r="O13" i="7"/>
  <c r="O14" i="7" s="1"/>
  <c r="Q4" i="7"/>
  <c r="P11" i="7"/>
  <c r="P10" i="7"/>
  <c r="M19" i="7"/>
  <c r="M17" i="7"/>
  <c r="M18" i="7" s="1"/>
  <c r="P13" i="7" l="1"/>
  <c r="P14" i="7" s="1"/>
  <c r="R4" i="7"/>
  <c r="Q10" i="7"/>
  <c r="Q11" i="7"/>
  <c r="N19" i="7"/>
  <c r="N17" i="7"/>
  <c r="N18" i="7" s="1"/>
  <c r="Q13" i="7" l="1"/>
  <c r="Q14" i="7" s="1"/>
  <c r="O19" i="7"/>
  <c r="O17" i="7"/>
  <c r="O18" i="7" s="1"/>
  <c r="R10" i="7"/>
  <c r="R11" i="7"/>
  <c r="R13" i="7" l="1"/>
  <c r="R14" i="7" s="1"/>
  <c r="P19" i="7"/>
  <c r="P17" i="7"/>
  <c r="P18" i="7" s="1"/>
  <c r="Q19" i="7" l="1"/>
  <c r="Q17" i="7"/>
  <c r="Q18" i="7" s="1"/>
  <c r="R19" i="7" l="1"/>
  <c r="R17" i="7"/>
  <c r="R18" i="7" s="1"/>
  <c r="H26" i="6" l="1"/>
  <c r="N26" i="6" s="1"/>
  <c r="I18" i="6" s="1"/>
  <c r="D39" i="2"/>
  <c r="E12" i="6"/>
  <c r="E11" i="6"/>
  <c r="E10" i="6"/>
  <c r="E9" i="6"/>
  <c r="G5" i="6"/>
  <c r="M1" i="6"/>
  <c r="K1" i="6"/>
  <c r="M4" i="6"/>
  <c r="J18" i="6" l="1"/>
  <c r="K18" i="6" s="1"/>
  <c r="L18" i="6" s="1"/>
  <c r="M18" i="6" s="1"/>
  <c r="N18" i="6" s="1"/>
  <c r="O18" i="6" s="1"/>
  <c r="P18" i="6" s="1"/>
  <c r="Q18" i="6" s="1"/>
  <c r="R18" i="6" s="1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J13" i="6"/>
  <c r="H9" i="6"/>
  <c r="H11" i="6"/>
  <c r="I9" i="6"/>
  <c r="I13" i="6"/>
  <c r="M9" i="6"/>
  <c r="G10" i="6"/>
  <c r="M10" i="6" s="1"/>
  <c r="G12" i="6"/>
  <c r="M12" i="6" s="1"/>
  <c r="N4" i="6"/>
  <c r="I15" i="6" l="1"/>
  <c r="I12" i="6"/>
  <c r="H12" i="6"/>
  <c r="I10" i="6"/>
  <c r="H10" i="6"/>
  <c r="H15" i="6" s="1"/>
  <c r="L9" i="6"/>
  <c r="N9" i="6"/>
  <c r="K9" i="6"/>
  <c r="K13" i="6"/>
  <c r="L13" i="6"/>
  <c r="M13" i="6"/>
  <c r="M15" i="6" s="1"/>
  <c r="H13" i="6"/>
  <c r="J10" i="6"/>
  <c r="J15" i="6" s="1"/>
  <c r="L10" i="6"/>
  <c r="N10" i="6"/>
  <c r="K10" i="6"/>
  <c r="N13" i="6"/>
  <c r="J12" i="6"/>
  <c r="L12" i="6"/>
  <c r="N12" i="6"/>
  <c r="K12" i="6"/>
  <c r="O4" i="6"/>
  <c r="N15" i="6" l="1"/>
  <c r="K15" i="6"/>
  <c r="L15" i="6"/>
  <c r="L16" i="6" s="1"/>
  <c r="I21" i="6"/>
  <c r="H16" i="6"/>
  <c r="M16" i="6"/>
  <c r="N16" i="6"/>
  <c r="K16" i="6"/>
  <c r="J16" i="6"/>
  <c r="I19" i="6"/>
  <c r="I20" i="6" s="1"/>
  <c r="I16" i="6"/>
  <c r="O9" i="6"/>
  <c r="O13" i="6"/>
  <c r="O12" i="6"/>
  <c r="O10" i="6"/>
  <c r="P4" i="6"/>
  <c r="O15" i="6" l="1"/>
  <c r="H19" i="6"/>
  <c r="H20" i="6" s="1"/>
  <c r="J21" i="6"/>
  <c r="J19" i="6"/>
  <c r="J20" i="6" s="1"/>
  <c r="H21" i="6"/>
  <c r="K21" i="6"/>
  <c r="O16" i="6"/>
  <c r="K19" i="6"/>
  <c r="K20" i="6" s="1"/>
  <c r="P9" i="6"/>
  <c r="P13" i="6"/>
  <c r="P10" i="6"/>
  <c r="P12" i="6"/>
  <c r="L21" i="6"/>
  <c r="L19" i="6"/>
  <c r="L20" i="6" s="1"/>
  <c r="Q4" i="6"/>
  <c r="P15" i="6" l="1"/>
  <c r="P16" i="6" s="1"/>
  <c r="Q9" i="6"/>
  <c r="Q13" i="6"/>
  <c r="Q12" i="6"/>
  <c r="Q10" i="6"/>
  <c r="R4" i="6"/>
  <c r="M21" i="6"/>
  <c r="M19" i="6"/>
  <c r="M20" i="6" s="1"/>
  <c r="Q15" i="6" l="1"/>
  <c r="Q16" i="6" s="1"/>
  <c r="R9" i="6"/>
  <c r="R13" i="6"/>
  <c r="R12" i="6"/>
  <c r="R10" i="6"/>
  <c r="N21" i="6"/>
  <c r="N19" i="6"/>
  <c r="N20" i="6" s="1"/>
  <c r="R15" i="6" l="1"/>
  <c r="R16" i="6" s="1"/>
  <c r="O21" i="6"/>
  <c r="O19" i="6"/>
  <c r="O20" i="6" s="1"/>
  <c r="P21" i="6" l="1"/>
  <c r="P19" i="6"/>
  <c r="P20" i="6" s="1"/>
  <c r="Q21" i="6" l="1"/>
  <c r="Q19" i="6"/>
  <c r="Q20" i="6" s="1"/>
  <c r="R21" i="6" l="1"/>
  <c r="R19" i="6"/>
  <c r="R20" i="6" s="1"/>
  <c r="N1" i="4" l="1"/>
  <c r="L1" i="4"/>
  <c r="E12" i="4"/>
  <c r="E11" i="4"/>
  <c r="E10" i="4"/>
  <c r="E9" i="4"/>
  <c r="G5" i="4"/>
  <c r="P28" i="4"/>
  <c r="I22" i="4" s="1"/>
  <c r="L1" i="3"/>
  <c r="J1" i="3"/>
  <c r="K1" i="2"/>
  <c r="M1" i="2"/>
  <c r="M4" i="4"/>
  <c r="J22" i="4" l="1"/>
  <c r="K22" i="4" s="1"/>
  <c r="L22" i="4" s="1"/>
  <c r="M22" i="4" s="1"/>
  <c r="N22" i="4" s="1"/>
  <c r="O22" i="4" s="1"/>
  <c r="P22" i="4" s="1"/>
  <c r="Q22" i="4" s="1"/>
  <c r="R22" i="4" s="1"/>
  <c r="I13" i="4"/>
  <c r="G17" i="4"/>
  <c r="G16" i="4"/>
  <c r="I5" i="4"/>
  <c r="J5" i="4" s="1"/>
  <c r="K5" i="4" s="1"/>
  <c r="L5" i="4" s="1"/>
  <c r="M5" i="4" s="1"/>
  <c r="N5" i="4" s="1"/>
  <c r="O5" i="4" s="1"/>
  <c r="P5" i="4" s="1"/>
  <c r="Q5" i="4" s="1"/>
  <c r="R5" i="4" s="1"/>
  <c r="G12" i="4"/>
  <c r="H12" i="4" s="1"/>
  <c r="G10" i="4"/>
  <c r="K10" i="4" s="1"/>
  <c r="N4" i="4"/>
  <c r="K9" i="4"/>
  <c r="O4" i="4"/>
  <c r="O13" i="4" s="1"/>
  <c r="K13" i="4" l="1"/>
  <c r="J13" i="4"/>
  <c r="L13" i="4"/>
  <c r="K17" i="4"/>
  <c r="M17" i="4"/>
  <c r="O17" i="4"/>
  <c r="Q17" i="4"/>
  <c r="I17" i="4"/>
  <c r="R17" i="4"/>
  <c r="N17" i="4"/>
  <c r="J17" i="4"/>
  <c r="H17" i="4"/>
  <c r="P17" i="4"/>
  <c r="L17" i="4"/>
  <c r="I16" i="4"/>
  <c r="P16" i="4"/>
  <c r="L16" i="4"/>
  <c r="J16" i="4"/>
  <c r="O16" i="4"/>
  <c r="K16" i="4"/>
  <c r="R16" i="4"/>
  <c r="N16" i="4"/>
  <c r="H16" i="4"/>
  <c r="Q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K19" i="4" l="1"/>
  <c r="K20" i="4" s="1"/>
  <c r="J19" i="4"/>
  <c r="J20" i="4" s="1"/>
  <c r="M19" i="4"/>
  <c r="M20" i="4" s="1"/>
  <c r="O19" i="4"/>
  <c r="O20" i="4" s="1"/>
  <c r="L19" i="4"/>
  <c r="L20" i="4" s="1"/>
  <c r="N19" i="4"/>
  <c r="N20" i="4" s="1"/>
  <c r="I19" i="4"/>
  <c r="I20" i="4" s="1"/>
  <c r="H19" i="4"/>
  <c r="H23" i="4" s="1"/>
  <c r="H24" i="4" s="1"/>
  <c r="P13" i="4"/>
  <c r="P9" i="4"/>
  <c r="P10" i="4"/>
  <c r="P12" i="4"/>
  <c r="Q4" i="4"/>
  <c r="J25" i="4" l="1"/>
  <c r="H25" i="4"/>
  <c r="P19" i="4"/>
  <c r="P20" i="4" s="1"/>
  <c r="I25" i="4"/>
  <c r="H20" i="4"/>
  <c r="K25" i="4"/>
  <c r="J23" i="4"/>
  <c r="J24" i="4" s="1"/>
  <c r="K23" i="4"/>
  <c r="K24" i="4" s="1"/>
  <c r="I23" i="4"/>
  <c r="I24" i="4" s="1"/>
  <c r="Q10" i="4"/>
  <c r="Q13" i="4"/>
  <c r="Q12" i="4"/>
  <c r="Q9" i="4"/>
  <c r="R4" i="4"/>
  <c r="L25" i="4"/>
  <c r="L23" i="4"/>
  <c r="L24" i="4" s="1"/>
  <c r="Q19" i="4" l="1"/>
  <c r="Q20" i="4" s="1"/>
  <c r="R13" i="4"/>
  <c r="R10" i="4"/>
  <c r="R12" i="4"/>
  <c r="R9" i="4"/>
  <c r="M25" i="4"/>
  <c r="M23" i="4"/>
  <c r="M24" i="4" s="1"/>
  <c r="R19" i="4" l="1"/>
  <c r="R20" i="4" s="1"/>
  <c r="N25" i="4"/>
  <c r="N23" i="4"/>
  <c r="N24" i="4" s="1"/>
  <c r="O25" i="4" l="1"/>
  <c r="O23" i="4"/>
  <c r="O24" i="4" s="1"/>
  <c r="P25" i="4" l="1"/>
  <c r="P23" i="4"/>
  <c r="P24" i="4" s="1"/>
  <c r="Q25" i="4" l="1"/>
  <c r="Q23" i="4"/>
  <c r="Q24" i="4" s="1"/>
  <c r="R25" i="4" l="1"/>
  <c r="R23" i="4"/>
  <c r="R24" i="4" s="1"/>
  <c r="E13" i="3" l="1"/>
  <c r="E12" i="3"/>
  <c r="E11" i="3"/>
  <c r="E10" i="3"/>
  <c r="D35" i="2"/>
  <c r="I39" i="2"/>
  <c r="G18" i="3"/>
  <c r="M4" i="3"/>
  <c r="I5" i="3" l="1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G17" i="3"/>
  <c r="H17" i="3" s="1"/>
  <c r="G11" i="3"/>
  <c r="K11" i="3" s="1"/>
  <c r="G13" i="3"/>
  <c r="K13" i="3" s="1"/>
  <c r="H16" i="3"/>
  <c r="K10" i="3"/>
  <c r="H18" i="3"/>
  <c r="J18" i="3"/>
  <c r="L18" i="3"/>
  <c r="N4" i="3"/>
  <c r="I18" i="3"/>
  <c r="K18" i="3"/>
  <c r="M18" i="3"/>
  <c r="L11" i="3" l="1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K20" i="3" s="1"/>
  <c r="K21" i="3" s="1"/>
  <c r="M14" i="3"/>
  <c r="J13" i="3"/>
  <c r="I13" i="3"/>
  <c r="M13" i="3"/>
  <c r="H14" i="3"/>
  <c r="L17" i="3"/>
  <c r="J14" i="3"/>
  <c r="I14" i="3"/>
  <c r="M11" i="3"/>
  <c r="M10" i="3"/>
  <c r="N14" i="3"/>
  <c r="O4" i="3"/>
  <c r="N13" i="3"/>
  <c r="N11" i="3"/>
  <c r="N18" i="3"/>
  <c r="N17" i="3"/>
  <c r="H20" i="3" l="1"/>
  <c r="H21" i="3"/>
  <c r="H26" i="3" s="1"/>
  <c r="L20" i="3"/>
  <c r="L21" i="3" s="1"/>
  <c r="J20" i="3"/>
  <c r="J21" i="3" s="1"/>
  <c r="J24" i="3" s="1"/>
  <c r="J25" i="3" s="1"/>
  <c r="I20" i="3"/>
  <c r="I21" i="3" s="1"/>
  <c r="I24" i="3" s="1"/>
  <c r="I25" i="3" s="1"/>
  <c r="M20" i="3"/>
  <c r="M21" i="3" s="1"/>
  <c r="K24" i="3"/>
  <c r="K25" i="3" s="1"/>
  <c r="N20" i="3"/>
  <c r="N21" i="3" s="1"/>
  <c r="O14" i="3"/>
  <c r="P4" i="3"/>
  <c r="O11" i="3"/>
  <c r="O13" i="3"/>
  <c r="O10" i="3"/>
  <c r="O17" i="3"/>
  <c r="O18" i="3"/>
  <c r="K26" i="3"/>
  <c r="H24" i="3" l="1"/>
  <c r="H25" i="3" s="1"/>
  <c r="I26" i="3"/>
  <c r="J26" i="3"/>
  <c r="L26" i="3"/>
  <c r="P14" i="3"/>
  <c r="Q4" i="3"/>
  <c r="P18" i="3"/>
  <c r="P11" i="3"/>
  <c r="P13" i="3"/>
  <c r="P10" i="3"/>
  <c r="P17" i="3"/>
  <c r="L24" i="3"/>
  <c r="L25" i="3" s="1"/>
  <c r="O20" i="3"/>
  <c r="O21" i="3" s="1"/>
  <c r="P20" i="3" l="1"/>
  <c r="P21" i="3" s="1"/>
  <c r="Q14" i="3"/>
  <c r="R4" i="3"/>
  <c r="Q10" i="3"/>
  <c r="Q18" i="3"/>
  <c r="Q17" i="3"/>
  <c r="Q11" i="3"/>
  <c r="Q13" i="3"/>
  <c r="M26" i="3"/>
  <c r="M24" i="3"/>
  <c r="M25" i="3" s="1"/>
  <c r="R14" i="3" l="1"/>
  <c r="R13" i="3"/>
  <c r="R10" i="3"/>
  <c r="R11" i="3"/>
  <c r="R17" i="3"/>
  <c r="R18" i="3"/>
  <c r="Q20" i="3"/>
  <c r="Q21" i="3" s="1"/>
  <c r="N26" i="3"/>
  <c r="N24" i="3"/>
  <c r="N25" i="3" s="1"/>
  <c r="R20" i="3" l="1"/>
  <c r="R21" i="3" s="1"/>
  <c r="O26" i="3"/>
  <c r="O24" i="3"/>
  <c r="O25" i="3" s="1"/>
  <c r="P26" i="3" l="1"/>
  <c r="P24" i="3"/>
  <c r="P25" i="3" s="1"/>
  <c r="Q26" i="3" l="1"/>
  <c r="Q24" i="3"/>
  <c r="Q25" i="3" s="1"/>
  <c r="R26" i="3" l="1"/>
  <c r="R24" i="3"/>
  <c r="R25" i="3" s="1"/>
  <c r="E23" i="2" l="1"/>
  <c r="E22" i="2"/>
  <c r="E21" i="2"/>
  <c r="E17" i="2"/>
  <c r="E15" i="2"/>
  <c r="E14" i="2"/>
  <c r="G5" i="2"/>
  <c r="M4" i="2"/>
  <c r="J23" i="2" l="1"/>
  <c r="N23" i="2"/>
  <c r="K23" i="2"/>
  <c r="M23" i="2"/>
  <c r="O23" i="2"/>
  <c r="Q23" i="2"/>
  <c r="L23" i="2"/>
  <c r="P23" i="2"/>
  <c r="R23" i="2"/>
  <c r="G10" i="2"/>
  <c r="M10" i="2" s="1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G24" i="2"/>
  <c r="M24" i="2" s="1"/>
  <c r="H23" i="2"/>
  <c r="G19" i="2"/>
  <c r="G17" i="2"/>
  <c r="K17" i="2" s="1"/>
  <c r="G15" i="2"/>
  <c r="I15" i="2" s="1"/>
  <c r="G12" i="2"/>
  <c r="M12" i="2" s="1"/>
  <c r="N10" i="2"/>
  <c r="G25" i="2"/>
  <c r="N25" i="2" s="1"/>
  <c r="G22" i="2"/>
  <c r="H22" i="2" s="1"/>
  <c r="H21" i="2"/>
  <c r="I14" i="2"/>
  <c r="G11" i="2"/>
  <c r="N11" i="2" s="1"/>
  <c r="G9" i="2"/>
  <c r="M9" i="2" s="1"/>
  <c r="N4" i="2"/>
  <c r="O4" i="2"/>
  <c r="J22" i="2" l="1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M28" i="2" l="1"/>
  <c r="N27" i="2"/>
  <c r="M27" i="2"/>
  <c r="I27" i="2"/>
  <c r="N28" i="2"/>
  <c r="H27" i="2"/>
  <c r="L27" i="2"/>
  <c r="J27" i="2"/>
  <c r="O28" i="2"/>
  <c r="K27" i="2"/>
  <c r="H28" i="2"/>
  <c r="H31" i="2" s="1"/>
  <c r="H32" i="2" s="1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O27" i="2"/>
  <c r="H33" i="2" l="1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Q28" i="2" l="1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O39" i="2"/>
  <c r="I30" i="2" s="1"/>
  <c r="J30" i="2" l="1"/>
  <c r="K30" i="2" s="1"/>
  <c r="L30" i="2" s="1"/>
  <c r="M30" i="2" s="1"/>
  <c r="N30" i="2" s="1"/>
  <c r="O30" i="2" s="1"/>
  <c r="P30" i="2" s="1"/>
  <c r="Q30" i="2" s="1"/>
  <c r="R30" i="2" s="1"/>
  <c r="I33" i="2"/>
  <c r="I31" i="2"/>
  <c r="I32" i="2" s="1"/>
  <c r="J33" i="2" l="1"/>
  <c r="J31" i="2"/>
  <c r="J32" i="2" s="1"/>
  <c r="K33" i="2" l="1"/>
  <c r="K31" i="2"/>
  <c r="K32" i="2" s="1"/>
  <c r="L31" i="2" l="1"/>
  <c r="L32" i="2" s="1"/>
  <c r="L33" i="2"/>
  <c r="M33" i="2" l="1"/>
  <c r="M31" i="2"/>
  <c r="M32" i="2" s="1"/>
  <c r="N31" i="2" l="1"/>
  <c r="N32" i="2" s="1"/>
  <c r="N33" i="2"/>
  <c r="O31" i="2" l="1"/>
  <c r="O32" i="2" s="1"/>
  <c r="O33" i="2"/>
  <c r="P33" i="2" l="1"/>
  <c r="P31" i="2"/>
  <c r="P32" i="2" s="1"/>
  <c r="Q33" i="2" l="1"/>
  <c r="Q31" i="2"/>
  <c r="Q32" i="2" s="1"/>
  <c r="R31" i="2" l="1"/>
  <c r="R32" i="2" s="1"/>
  <c r="R33" i="2"/>
</calcChain>
</file>

<file path=xl/sharedStrings.xml><?xml version="1.0" encoding="utf-8"?>
<sst xmlns="http://schemas.openxmlformats.org/spreadsheetml/2006/main" count="316" uniqueCount="139">
  <si>
    <t>Data entry for Reserve Study</t>
  </si>
  <si>
    <t>Current year</t>
  </si>
  <si>
    <t>Painting:</t>
  </si>
  <si>
    <t>Siding:</t>
  </si>
  <si>
    <t>Composite Roofing:</t>
  </si>
  <si>
    <t>Gutters</t>
  </si>
  <si>
    <t>per sq ft</t>
  </si>
  <si>
    <t>installed, per sq ft</t>
  </si>
  <si>
    <t>installed, per ft</t>
  </si>
  <si>
    <t>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</si>
  <si>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</si>
  <si>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</si>
  <si>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</si>
  <si>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</si>
  <si>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</si>
  <si>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</si>
  <si>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</si>
  <si>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</si>
  <si>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</si>
  <si>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</si>
  <si>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</si>
  <si>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 xml:space="preserve">&lt;    &lt;    &lt;    &lt;              Desired   Balance            &gt;    &gt;    &gt;    &gt;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</si>
  <si>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</si>
  <si>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</si>
  <si>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</si>
  <si>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</si>
  <si>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</si>
  <si>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</si>
  <si>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</si>
  <si>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</si>
  <si>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</si>
  <si>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</si>
  <si>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</si>
  <si>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</si>
  <si>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</si>
  <si>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</si>
  <si>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</si>
  <si>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</si>
  <si>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</si>
  <si>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</si>
  <si>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</si>
  <si>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</si>
  <si>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</si>
  <si>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</si>
  <si>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</si>
  <si>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</si>
  <si>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</si>
  <si>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</si>
  <si>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</si>
  <si>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</si>
  <si>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</si>
  <si>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</si>
  <si>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</si>
  <si>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</si>
  <si>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</si>
  <si>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</si>
  <si>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</si>
  <si>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</si>
  <si>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</si>
  <si>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</si>
  <si>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</si>
  <si>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</si>
  <si>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</si>
  <si>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</si>
  <si>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</si>
  <si>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</si>
  <si>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</si>
  <si>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</si>
  <si>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</si>
  <si>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</si>
  <si>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</si>
  <si>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</si>
  <si>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</si>
  <si>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</si>
  <si>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</si>
  <si>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</si>
  <si>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Current month</t>
  </si>
  <si>
    <t>Reserve Study for LCA 1</t>
  </si>
  <si>
    <t>Operating costs (electricity, maintenance, minor repairs):</t>
  </si>
  <si>
    <t>?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</si>
  <si>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</si>
  <si>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</si>
  <si>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</si>
  <si>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</si>
  <si>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</si>
  <si>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</si>
  <si>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</si>
  <si>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</si>
  <si>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</si>
  <si>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</si>
  <si>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</si>
  <si>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</si>
  <si>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</si>
  <si>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</si>
  <si>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</si>
  <si>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</si>
  <si>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($3.50/sq ft)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</si>
  <si>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</si>
  <si>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</si>
  <si>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</si>
  <si>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</si>
  <si>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</si>
  <si>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</si>
  <si>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</si>
  <si>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LCA 4 Wiltse credit:</t>
  </si>
  <si>
    <t>Reserve Study for LCA 3 Carport part</t>
  </si>
  <si>
    <t>Reserve Study for LCA 2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</si>
  <si>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</si>
  <si>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</si>
  <si>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</si>
  <si>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</si>
  <si>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</si>
  <si>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</si>
  <si>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</si>
  <si>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</si>
  <si>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</si>
  <si>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</si>
  <si>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Pool rot</t>
  </si>
  <si>
    <t>Pool paint</t>
  </si>
  <si>
    <t>Estimated upcoming expenses</t>
  </si>
  <si>
    <t>Annual expenses 2015-16:</t>
  </si>
  <si>
    <t>includes Peggy Gray's house that is still to be built</t>
  </si>
  <si>
    <t>General Reserve</t>
  </si>
  <si>
    <t>Riparian restore</t>
  </si>
  <si>
    <t>Fund balances (July 2017)</t>
  </si>
  <si>
    <t>Proposed for 2018</t>
  </si>
  <si>
    <t>July</t>
  </si>
  <si>
    <t>(+10 for noncarport part)</t>
  </si>
  <si>
    <t>LCA 1</t>
  </si>
  <si>
    <t>LCA 2</t>
  </si>
  <si>
    <t>LCA 3 cpt</t>
  </si>
  <si>
    <t>LCA 4</t>
  </si>
  <si>
    <t>LCA 3 carports</t>
  </si>
  <si>
    <t>LCA 3 other</t>
  </si>
  <si>
    <t>Total reserves</t>
  </si>
  <si>
    <t>Gen</t>
  </si>
  <si>
    <t>Desired balances</t>
  </si>
  <si>
    <t>Total</t>
  </si>
  <si>
    <t>% funding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</si>
</sst>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Border="1"/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1" fontId="15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/>
    <xf numFmtId="0" fontId="0" fillId="0" borderId="15" xfId="0" applyBorder="1"/>
    <xf numFmtId="0" fontId="0" fillId="0" borderId="16" xfId="0" applyBorder="1"/>
    <xf numFmtId="0" fontId="10" fillId="0" borderId="17" xfId="0" applyFont="1" applyBorder="1" applyAlignment="1">
      <alignment horizontal="center"/>
    </xf>
    <xf numFmtId="0" fontId="0" fillId="0" borderId="18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C7" workbookViewId="0">
      <selection activeCell="G14" sqref="G13:G14"/>
    </sheetView>
  </sheetViews>
  <sheetFormatPr defaultRowHeight="15" x14ac:dyDescent="0.25"/>
  <cols>
    <col min="2" max="2" width="12.140625" customWidth="1"/>
    <col min="8" max="8" width="10.28515625" customWidth="1"/>
    <col min="16" max="16" width="9.5703125" bestFit="1" customWidth="1"/>
    <col min="20" max="20" width="9.140625" style="46"/>
  </cols>
  <sheetData>
    <row r="1" spans="2:20" x14ac:dyDescent="0.25">
      <c r="C1" s="78" t="s">
        <v>0</v>
      </c>
      <c r="D1" s="78"/>
      <c r="E1" s="78"/>
      <c r="F1" s="78"/>
    </row>
    <row r="2" spans="2:20" x14ac:dyDescent="0.25">
      <c r="C2" s="78"/>
      <c r="D2" s="78"/>
      <c r="E2" s="78"/>
      <c r="F2" s="78"/>
    </row>
    <row r="4" spans="2:20" x14ac:dyDescent="0.25">
      <c r="B4" s="64" t="s">
        <v>1</v>
      </c>
      <c r="C4" s="64"/>
      <c r="D4" s="7">
        <v>2017</v>
      </c>
      <c r="F4" s="64" t="s">
        <v>76</v>
      </c>
      <c r="G4" s="64"/>
      <c r="H4" s="7" t="s">
        <v>126</v>
      </c>
    </row>
    <row r="6" spans="2:20" ht="18.75" x14ac:dyDescent="0.3">
      <c r="B6" s="79" t="s">
        <v>13</v>
      </c>
      <c r="C6" s="65"/>
      <c r="H6" s="52"/>
      <c r="I6" s="80" t="s">
        <v>108</v>
      </c>
      <c r="J6" s="80"/>
      <c r="K6" s="80"/>
      <c r="L6" s="80"/>
      <c r="Q6" s="4"/>
      <c r="R6" s="4"/>
    </row>
    <row r="7" spans="2:20" ht="15.75" thickBot="1" x14ac:dyDescent="0.3">
      <c r="K7" t="s">
        <v>86</v>
      </c>
      <c r="L7" t="s">
        <v>67</v>
      </c>
      <c r="Q7" s="41"/>
      <c r="R7" s="41"/>
    </row>
    <row r="8" spans="2:20" ht="15.75" thickBot="1" x14ac:dyDescent="0.3">
      <c r="B8" s="64" t="s">
        <v>2</v>
      </c>
      <c r="C8" s="64"/>
      <c r="D8" s="5">
        <v>2</v>
      </c>
      <c r="E8" t="s">
        <v>6</v>
      </c>
      <c r="H8" s="64" t="s">
        <v>89</v>
      </c>
      <c r="I8" s="64"/>
      <c r="J8" s="76"/>
      <c r="K8" s="42">
        <v>200</v>
      </c>
      <c r="L8" s="42">
        <v>54</v>
      </c>
      <c r="M8" t="s">
        <v>121</v>
      </c>
      <c r="Q8" s="31"/>
      <c r="R8" s="46"/>
      <c r="T8"/>
    </row>
    <row r="9" spans="2:20" ht="15.75" thickBot="1" x14ac:dyDescent="0.3">
      <c r="B9" s="64" t="s">
        <v>3</v>
      </c>
      <c r="C9" s="64"/>
      <c r="D9" s="5">
        <v>7.5</v>
      </c>
      <c r="E9" t="s">
        <v>7</v>
      </c>
      <c r="H9" s="64" t="s">
        <v>90</v>
      </c>
      <c r="I9" s="64"/>
      <c r="J9" s="76"/>
      <c r="K9" s="42">
        <v>100</v>
      </c>
      <c r="L9" s="42">
        <v>18</v>
      </c>
      <c r="Q9" s="31"/>
      <c r="R9" s="46"/>
      <c r="T9"/>
    </row>
    <row r="10" spans="2:20" ht="15.75" thickBot="1" x14ac:dyDescent="0.3">
      <c r="B10" s="65" t="s">
        <v>4</v>
      </c>
      <c r="C10" s="65"/>
      <c r="D10" s="5">
        <v>2</v>
      </c>
      <c r="E10" t="s">
        <v>7</v>
      </c>
      <c r="I10" s="64" t="s">
        <v>65</v>
      </c>
      <c r="J10" s="76"/>
      <c r="K10" s="42">
        <v>135</v>
      </c>
      <c r="L10" s="42">
        <v>10</v>
      </c>
      <c r="Q10" s="31" t="s">
        <v>125</v>
      </c>
      <c r="R10" s="46"/>
      <c r="T10"/>
    </row>
    <row r="11" spans="2:20" ht="15.75" thickBot="1" x14ac:dyDescent="0.3">
      <c r="B11" s="64" t="s">
        <v>5</v>
      </c>
      <c r="C11" s="64"/>
      <c r="D11" s="5">
        <v>5</v>
      </c>
      <c r="E11" t="s">
        <v>8</v>
      </c>
      <c r="I11" s="64" t="s">
        <v>111</v>
      </c>
      <c r="J11" s="76"/>
      <c r="K11" s="42">
        <v>110</v>
      </c>
      <c r="L11" s="42">
        <v>7</v>
      </c>
      <c r="Q11" s="31">
        <v>100</v>
      </c>
      <c r="R11" s="46"/>
      <c r="T11"/>
    </row>
    <row r="12" spans="2:20" ht="15.75" thickBot="1" x14ac:dyDescent="0.3">
      <c r="B12" s="64" t="s">
        <v>95</v>
      </c>
      <c r="C12" s="64"/>
      <c r="D12" s="5">
        <v>14</v>
      </c>
      <c r="E12" t="s">
        <v>9</v>
      </c>
      <c r="F12" t="s">
        <v>96</v>
      </c>
      <c r="H12" s="64" t="s">
        <v>102</v>
      </c>
      <c r="I12" s="64"/>
      <c r="J12" s="76"/>
      <c r="K12" s="42">
        <v>100</v>
      </c>
      <c r="L12" s="42">
        <v>2</v>
      </c>
      <c r="Q12" s="31">
        <v>125</v>
      </c>
      <c r="R12" s="66" t="s">
        <v>127</v>
      </c>
      <c r="S12" s="66"/>
      <c r="T12" s="66"/>
    </row>
    <row r="13" spans="2:20" ht="15.75" thickBot="1" x14ac:dyDescent="0.3">
      <c r="B13" s="64" t="s">
        <v>94</v>
      </c>
      <c r="C13" s="64"/>
      <c r="D13" s="5">
        <v>1.45</v>
      </c>
      <c r="E13" t="s">
        <v>6</v>
      </c>
      <c r="I13" s="64" t="s">
        <v>66</v>
      </c>
      <c r="J13" s="76"/>
      <c r="K13" s="42">
        <v>10</v>
      </c>
      <c r="L13" s="42">
        <v>6</v>
      </c>
      <c r="Q13" s="31"/>
      <c r="R13" s="46"/>
      <c r="T13"/>
    </row>
    <row r="14" spans="2:20" ht="15.75" thickBot="1" x14ac:dyDescent="0.3">
      <c r="B14" s="64" t="s">
        <v>91</v>
      </c>
      <c r="C14" s="77"/>
      <c r="D14" s="5">
        <v>4</v>
      </c>
      <c r="E14" t="s">
        <v>6</v>
      </c>
      <c r="I14" s="64" t="s">
        <v>109</v>
      </c>
      <c r="J14" s="76"/>
      <c r="K14" s="42">
        <v>95</v>
      </c>
      <c r="L14" s="42">
        <v>3</v>
      </c>
      <c r="Q14" s="31">
        <v>110</v>
      </c>
      <c r="R14" s="46"/>
      <c r="T14"/>
    </row>
    <row r="15" spans="2:20" ht="15.75" thickBot="1" x14ac:dyDescent="0.3">
      <c r="B15" s="64" t="s">
        <v>92</v>
      </c>
      <c r="C15" s="77"/>
      <c r="D15" s="7">
        <v>3000</v>
      </c>
      <c r="E15" t="s">
        <v>15</v>
      </c>
      <c r="G15" s="64" t="s">
        <v>103</v>
      </c>
      <c r="H15" s="64"/>
      <c r="I15" s="64"/>
      <c r="J15" s="76"/>
      <c r="K15" s="42">
        <v>9</v>
      </c>
      <c r="L15" s="42">
        <v>1</v>
      </c>
      <c r="M15" t="s">
        <v>114</v>
      </c>
      <c r="Q15" s="31"/>
      <c r="R15" s="46"/>
      <c r="T15"/>
    </row>
    <row r="16" spans="2:20" ht="15.75" thickBot="1" x14ac:dyDescent="0.3">
      <c r="B16" s="64" t="s">
        <v>88</v>
      </c>
      <c r="C16" s="64"/>
      <c r="D16" s="5" t="s">
        <v>79</v>
      </c>
      <c r="E16" t="s">
        <v>6</v>
      </c>
      <c r="H16" s="64" t="s">
        <v>104</v>
      </c>
      <c r="I16" s="64"/>
      <c r="J16" s="76"/>
      <c r="K16" s="42">
        <v>20</v>
      </c>
      <c r="L16" s="42">
        <v>1</v>
      </c>
      <c r="M16" t="s">
        <v>115</v>
      </c>
      <c r="Q16" s="31"/>
      <c r="R16" s="46"/>
      <c r="T16"/>
    </row>
    <row r="17" spans="1:20" ht="15.75" thickBot="1" x14ac:dyDescent="0.3">
      <c r="B17" s="64" t="s">
        <v>14</v>
      </c>
      <c r="C17" s="64"/>
      <c r="D17" s="32">
        <v>1000</v>
      </c>
      <c r="E17" t="s">
        <v>15</v>
      </c>
      <c r="I17" s="64" t="s">
        <v>110</v>
      </c>
      <c r="J17" s="76"/>
      <c r="K17" s="42">
        <v>25</v>
      </c>
      <c r="L17" s="48">
        <v>1</v>
      </c>
      <c r="M17" t="s">
        <v>116</v>
      </c>
      <c r="Q17" s="47"/>
      <c r="R17" s="46"/>
      <c r="T17"/>
    </row>
    <row r="18" spans="1:20" x14ac:dyDescent="0.25">
      <c r="A18" s="4"/>
      <c r="B18" s="64" t="s">
        <v>87</v>
      </c>
      <c r="C18" s="77"/>
      <c r="D18" s="32">
        <v>8000</v>
      </c>
      <c r="E18" t="s">
        <v>15</v>
      </c>
      <c r="G18" s="73" t="s">
        <v>119</v>
      </c>
      <c r="H18" s="74"/>
      <c r="I18" s="75"/>
      <c r="K18" s="31"/>
      <c r="L18" s="31"/>
    </row>
    <row r="19" spans="1:20" x14ac:dyDescent="0.25">
      <c r="B19" s="64" t="s">
        <v>97</v>
      </c>
      <c r="C19" s="64"/>
      <c r="D19" s="5">
        <v>120</v>
      </c>
      <c r="E19" t="s">
        <v>15</v>
      </c>
      <c r="G19" s="54"/>
      <c r="H19" s="71" t="s">
        <v>5</v>
      </c>
      <c r="I19" s="72"/>
      <c r="J19" s="17"/>
    </row>
    <row r="20" spans="1:20" x14ac:dyDescent="0.25">
      <c r="G20" s="54" t="s">
        <v>128</v>
      </c>
      <c r="H20" s="69">
        <v>500</v>
      </c>
      <c r="I20" s="70"/>
      <c r="J20" s="17"/>
    </row>
    <row r="21" spans="1:20" x14ac:dyDescent="0.25">
      <c r="B21" s="17"/>
      <c r="C21" s="17"/>
      <c r="D21" s="6"/>
      <c r="G21" s="54" t="s">
        <v>129</v>
      </c>
      <c r="H21" s="69">
        <v>250</v>
      </c>
      <c r="I21" s="70"/>
      <c r="J21" s="17"/>
    </row>
    <row r="22" spans="1:20" x14ac:dyDescent="0.25">
      <c r="B22" s="64" t="s">
        <v>10</v>
      </c>
      <c r="C22" s="64"/>
      <c r="D22" s="5">
        <v>1</v>
      </c>
      <c r="E22" t="s">
        <v>12</v>
      </c>
      <c r="G22" s="54" t="s">
        <v>130</v>
      </c>
      <c r="H22" s="69">
        <v>150</v>
      </c>
      <c r="I22" s="70"/>
    </row>
    <row r="23" spans="1:20" x14ac:dyDescent="0.25">
      <c r="B23" s="64" t="s">
        <v>11</v>
      </c>
      <c r="C23" s="64"/>
      <c r="D23" s="5">
        <v>1</v>
      </c>
      <c r="E23" t="s">
        <v>12</v>
      </c>
      <c r="G23" s="54" t="s">
        <v>131</v>
      </c>
      <c r="H23" s="69">
        <v>150</v>
      </c>
      <c r="I23" s="70"/>
    </row>
    <row r="24" spans="1:20" x14ac:dyDescent="0.25">
      <c r="G24" s="67" t="s">
        <v>117</v>
      </c>
      <c r="H24" s="68"/>
      <c r="I24" s="61">
        <v>1000</v>
      </c>
      <c r="N24" t="s">
        <v>136</v>
      </c>
    </row>
    <row r="25" spans="1:20" x14ac:dyDescent="0.25">
      <c r="A25" s="64" t="s">
        <v>48</v>
      </c>
      <c r="B25" s="64"/>
      <c r="C25" s="64"/>
      <c r="D25" s="30">
        <v>9750</v>
      </c>
      <c r="E25" s="22" t="s">
        <v>49</v>
      </c>
      <c r="F25" s="4"/>
      <c r="G25" s="67" t="s">
        <v>118</v>
      </c>
      <c r="H25" s="68"/>
      <c r="I25" s="61">
        <v>3300</v>
      </c>
      <c r="N25" t="s">
        <v>135</v>
      </c>
      <c r="O25">
        <v>67456</v>
      </c>
    </row>
    <row r="26" spans="1:20" x14ac:dyDescent="0.25">
      <c r="A26" s="64" t="s">
        <v>50</v>
      </c>
      <c r="B26" s="64"/>
      <c r="C26" s="64"/>
      <c r="D26" s="30">
        <v>4200</v>
      </c>
      <c r="E26" s="21"/>
      <c r="G26" s="55"/>
      <c r="H26" s="56"/>
      <c r="I26" s="57"/>
      <c r="N26" t="s">
        <v>128</v>
      </c>
      <c r="O26">
        <v>18231</v>
      </c>
    </row>
    <row r="27" spans="1:20" x14ac:dyDescent="0.25">
      <c r="A27" s="64" t="s">
        <v>52</v>
      </c>
      <c r="B27" s="64"/>
      <c r="C27" s="64"/>
      <c r="D27" s="30">
        <v>9000</v>
      </c>
      <c r="E27" s="21"/>
      <c r="F27" s="4"/>
      <c r="N27" t="s">
        <v>129</v>
      </c>
      <c r="O27">
        <v>12256</v>
      </c>
    </row>
    <row r="28" spans="1:20" x14ac:dyDescent="0.25">
      <c r="A28" s="64" t="s">
        <v>54</v>
      </c>
      <c r="B28" s="64"/>
      <c r="C28" s="64"/>
      <c r="D28" s="30">
        <v>3000</v>
      </c>
      <c r="E28" s="21"/>
      <c r="N28" t="s">
        <v>130</v>
      </c>
      <c r="O28">
        <v>3941</v>
      </c>
    </row>
    <row r="29" spans="1:20" x14ac:dyDescent="0.25">
      <c r="A29" s="64" t="s">
        <v>55</v>
      </c>
      <c r="B29" s="64"/>
      <c r="C29" s="64"/>
      <c r="D29" s="30">
        <v>6500</v>
      </c>
      <c r="E29" s="21"/>
      <c r="G29" s="65" t="s">
        <v>124</v>
      </c>
      <c r="H29" s="65"/>
      <c r="I29" s="65"/>
      <c r="N29" t="s">
        <v>133</v>
      </c>
      <c r="O29">
        <v>1256</v>
      </c>
    </row>
    <row r="30" spans="1:20" x14ac:dyDescent="0.25">
      <c r="A30" s="64" t="s">
        <v>56</v>
      </c>
      <c r="B30" s="64"/>
      <c r="C30" s="64"/>
      <c r="D30" s="22">
        <f>SUM(D25:D29)</f>
        <v>32450</v>
      </c>
      <c r="E30" s="22"/>
      <c r="G30" t="s">
        <v>122</v>
      </c>
      <c r="I30">
        <v>88769</v>
      </c>
      <c r="N30" t="s">
        <v>131</v>
      </c>
      <c r="O30">
        <v>6025</v>
      </c>
    </row>
    <row r="31" spans="1:20" x14ac:dyDescent="0.25">
      <c r="D31" s="21"/>
      <c r="G31" t="s">
        <v>128</v>
      </c>
      <c r="I31">
        <v>8653</v>
      </c>
    </row>
    <row r="32" spans="1:20" x14ac:dyDescent="0.25">
      <c r="D32" s="21"/>
      <c r="G32" t="s">
        <v>129</v>
      </c>
      <c r="I32">
        <v>9552</v>
      </c>
      <c r="N32" s="62" t="s">
        <v>137</v>
      </c>
      <c r="O32" s="62">
        <f>SUM(O25:O31)</f>
        <v>109165</v>
      </c>
    </row>
    <row r="33" spans="4:16" x14ac:dyDescent="0.25">
      <c r="D33" s="21"/>
      <c r="G33" t="s">
        <v>132</v>
      </c>
      <c r="I33">
        <v>-2408</v>
      </c>
    </row>
    <row r="34" spans="4:16" x14ac:dyDescent="0.25">
      <c r="D34" s="21"/>
      <c r="G34" t="s">
        <v>133</v>
      </c>
      <c r="I34">
        <v>6444</v>
      </c>
      <c r="L34" s="64" t="s">
        <v>138</v>
      </c>
      <c r="M34" s="64"/>
      <c r="N34" s="64"/>
      <c r="O34" s="63">
        <f>(I38/O32)*100</f>
        <v>108.97174002656529</v>
      </c>
    </row>
    <row r="35" spans="4:16" x14ac:dyDescent="0.25">
      <c r="G35" t="s">
        <v>131</v>
      </c>
      <c r="I35">
        <v>3195</v>
      </c>
      <c r="M35" s="4"/>
      <c r="N35" s="4"/>
      <c r="O35" s="4"/>
      <c r="P35" s="63"/>
    </row>
    <row r="36" spans="4:16" x14ac:dyDescent="0.25">
      <c r="G36" t="s">
        <v>123</v>
      </c>
      <c r="I36">
        <v>4754</v>
      </c>
    </row>
    <row r="38" spans="4:16" x14ac:dyDescent="0.25">
      <c r="G38" s="65" t="s">
        <v>134</v>
      </c>
      <c r="H38" s="65"/>
      <c r="I38">
        <f>SUM(I30:I37)</f>
        <v>118959</v>
      </c>
      <c r="K38" s="12"/>
    </row>
  </sheetData>
  <sheetProtection selectLockedCells="1"/>
  <mergeCells count="47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H12:J12"/>
    <mergeCell ref="G15:J15"/>
    <mergeCell ref="B11:C11"/>
    <mergeCell ref="B12:C12"/>
    <mergeCell ref="B13:C13"/>
    <mergeCell ref="B15:C15"/>
    <mergeCell ref="I13:J13"/>
    <mergeCell ref="I14:J14"/>
    <mergeCell ref="L34:N34"/>
    <mergeCell ref="G38:H38"/>
    <mergeCell ref="R12:T12"/>
    <mergeCell ref="G24:H24"/>
    <mergeCell ref="G25:H25"/>
    <mergeCell ref="G29:I29"/>
    <mergeCell ref="H20:I20"/>
    <mergeCell ref="H21:I21"/>
    <mergeCell ref="H22:I22"/>
    <mergeCell ref="H19:I19"/>
    <mergeCell ref="H23:I23"/>
    <mergeCell ref="G18:I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0" workbookViewId="0">
      <selection activeCell="I30" sqref="I30"/>
    </sheetView>
  </sheetViews>
  <sheetFormatPr defaultRowHeight="15" x14ac:dyDescent="0.25"/>
  <sheetData>
    <row r="1" spans="1:19" ht="15" customHeight="1" x14ac:dyDescent="0.25">
      <c r="E1" s="78" t="s">
        <v>75</v>
      </c>
      <c r="F1" s="78"/>
      <c r="G1" s="78"/>
      <c r="H1" s="78"/>
      <c r="I1" s="78"/>
      <c r="J1" s="78"/>
      <c r="K1" s="78" t="str">
        <f>'Data input'!H4</f>
        <v>July</v>
      </c>
      <c r="L1" s="78"/>
      <c r="M1" s="78">
        <f>'Data input'!D4</f>
        <v>2017</v>
      </c>
      <c r="N1" s="26"/>
    </row>
    <row r="2" spans="1:19" ht="15" customHeight="1" x14ac:dyDescent="0.25">
      <c r="E2" s="78"/>
      <c r="F2" s="78"/>
      <c r="G2" s="78"/>
      <c r="H2" s="78"/>
      <c r="I2" s="78"/>
      <c r="J2" s="78"/>
      <c r="K2" s="78"/>
      <c r="L2" s="78"/>
      <c r="M2" s="78"/>
      <c r="N2" s="26"/>
    </row>
    <row r="4" spans="1:19" x14ac:dyDescent="0.25">
      <c r="B4" s="1"/>
      <c r="G4" s="81" t="s">
        <v>1</v>
      </c>
      <c r="H4" s="81"/>
      <c r="I4" s="1">
        <v>1</v>
      </c>
      <c r="J4" s="1">
        <v>2</v>
      </c>
      <c r="K4" s="1">
        <v>3</v>
      </c>
      <c r="L4" s="1">
        <v>4</v>
      </c>
      <c r="M4" s="24">
        <f>L4+1</f>
        <v>5</v>
      </c>
      <c r="N4" s="24">
        <f t="shared" ref="N4:R4" si="0">M4+1</f>
        <v>6</v>
      </c>
      <c r="O4" s="24">
        <f t="shared" si="0"/>
        <v>7</v>
      </c>
      <c r="P4" s="24">
        <f t="shared" si="0"/>
        <v>8</v>
      </c>
      <c r="Q4" s="24">
        <f t="shared" si="0"/>
        <v>9</v>
      </c>
      <c r="R4" s="24">
        <f t="shared" si="0"/>
        <v>10</v>
      </c>
      <c r="S4" s="1"/>
    </row>
    <row r="5" spans="1:19" x14ac:dyDescent="0.25">
      <c r="E5" s="1" t="s">
        <v>16</v>
      </c>
      <c r="G5" s="81">
        <f>'Data input'!D4</f>
        <v>2017</v>
      </c>
      <c r="H5" s="81"/>
      <c r="I5" s="24">
        <f>G5+1</f>
        <v>2018</v>
      </c>
      <c r="J5" s="24">
        <f>1+I5</f>
        <v>2019</v>
      </c>
      <c r="K5" s="24">
        <f t="shared" ref="K5:R5" si="1">1+J5</f>
        <v>2020</v>
      </c>
      <c r="L5" s="24">
        <f t="shared" si="1"/>
        <v>2021</v>
      </c>
      <c r="M5" s="24">
        <f t="shared" si="1"/>
        <v>2022</v>
      </c>
      <c r="N5" s="24">
        <f t="shared" si="1"/>
        <v>2023</v>
      </c>
      <c r="O5" s="24">
        <f t="shared" si="1"/>
        <v>2024</v>
      </c>
      <c r="P5" s="24">
        <f t="shared" si="1"/>
        <v>2025</v>
      </c>
      <c r="Q5" s="24">
        <f t="shared" si="1"/>
        <v>2026</v>
      </c>
      <c r="R5" s="24">
        <f t="shared" si="1"/>
        <v>2027</v>
      </c>
      <c r="S5" s="1"/>
    </row>
    <row r="6" spans="1:19" x14ac:dyDescent="0.25">
      <c r="A6" s="8"/>
      <c r="B6" s="1"/>
      <c r="C6" s="82" t="s">
        <v>17</v>
      </c>
      <c r="D6" s="82"/>
      <c r="E6" t="s">
        <v>18</v>
      </c>
      <c r="F6" s="1" t="s">
        <v>19</v>
      </c>
      <c r="G6" s="37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9" x14ac:dyDescent="0.25">
      <c r="A7" s="9" t="s">
        <v>22</v>
      </c>
      <c r="B7" s="9"/>
      <c r="C7" s="9"/>
      <c r="D7" s="9" t="s">
        <v>23</v>
      </c>
      <c r="E7" s="1" t="s">
        <v>24</v>
      </c>
      <c r="F7" s="1" t="s">
        <v>25</v>
      </c>
      <c r="G7" s="37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9" x14ac:dyDescent="0.25"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66" t="s">
        <v>27</v>
      </c>
      <c r="B9" s="66"/>
      <c r="C9" s="39">
        <f>'Data input'!D17</f>
        <v>1000</v>
      </c>
      <c r="D9" s="10" t="s">
        <v>93</v>
      </c>
      <c r="E9" s="40">
        <f>C9</f>
        <v>1000</v>
      </c>
      <c r="F9" s="13">
        <v>30</v>
      </c>
      <c r="G9" s="11">
        <f>25+$G$5-2015</f>
        <v>27</v>
      </c>
      <c r="H9" s="34">
        <f>(E9*G9/F9)</f>
        <v>900</v>
      </c>
      <c r="I9" s="12">
        <f>($E$9*($G$9+I4)/$F$9)</f>
        <v>933.33333333333337</v>
      </c>
      <c r="J9" s="12">
        <f t="shared" ref="J9:R9" si="2">($E$9*($G$9+J4)/$F$9)</f>
        <v>966.66666666666663</v>
      </c>
      <c r="K9" s="12">
        <f t="shared" si="2"/>
        <v>1000</v>
      </c>
      <c r="L9" s="12">
        <f t="shared" si="2"/>
        <v>1033.3333333333333</v>
      </c>
      <c r="M9" s="12">
        <f t="shared" si="2"/>
        <v>1066.6666666666667</v>
      </c>
      <c r="N9" s="12">
        <f t="shared" si="2"/>
        <v>1100</v>
      </c>
      <c r="O9" s="12">
        <f t="shared" si="2"/>
        <v>1133.3333333333333</v>
      </c>
      <c r="P9" s="12">
        <f t="shared" si="2"/>
        <v>1166.6666666666667</v>
      </c>
      <c r="Q9" s="12">
        <f t="shared" si="2"/>
        <v>1200</v>
      </c>
      <c r="R9" s="12">
        <f t="shared" si="2"/>
        <v>1233.3333333333333</v>
      </c>
      <c r="S9" s="12"/>
    </row>
    <row r="10" spans="1:19" x14ac:dyDescent="0.25">
      <c r="A10" t="s">
        <v>28</v>
      </c>
      <c r="C10" s="39">
        <f>'Data input'!D18</f>
        <v>8000</v>
      </c>
      <c r="D10" t="s">
        <v>93</v>
      </c>
      <c r="E10" s="40">
        <f>C10</f>
        <v>8000</v>
      </c>
      <c r="F10" s="13">
        <v>30</v>
      </c>
      <c r="G10" s="11">
        <f>20+$G$5-2015</f>
        <v>22</v>
      </c>
      <c r="H10" s="34">
        <f>(E10*G10/F10)</f>
        <v>5866.666666666667</v>
      </c>
      <c r="I10" s="12">
        <f>($E$10*($G$10+I4)/$F$10)</f>
        <v>6133.333333333333</v>
      </c>
      <c r="J10" s="12">
        <f t="shared" ref="J10:R10" si="3">($E$10*($G$10+J4)/$F$10)</f>
        <v>6400</v>
      </c>
      <c r="K10" s="12">
        <f t="shared" si="3"/>
        <v>6666.666666666667</v>
      </c>
      <c r="L10" s="12">
        <f t="shared" si="3"/>
        <v>6933.333333333333</v>
      </c>
      <c r="M10" s="12">
        <f t="shared" si="3"/>
        <v>7200</v>
      </c>
      <c r="N10" s="12">
        <f t="shared" si="3"/>
        <v>7466.666666666667</v>
      </c>
      <c r="O10" s="12">
        <f t="shared" si="3"/>
        <v>7733.333333333333</v>
      </c>
      <c r="P10" s="12">
        <f t="shared" si="3"/>
        <v>8000</v>
      </c>
      <c r="Q10" s="12">
        <f t="shared" si="3"/>
        <v>8266.6666666666661</v>
      </c>
      <c r="R10" s="12">
        <f t="shared" si="3"/>
        <v>8533.3333333333339</v>
      </c>
      <c r="S10" s="12"/>
    </row>
    <row r="11" spans="1:19" x14ac:dyDescent="0.25">
      <c r="A11" t="s">
        <v>99</v>
      </c>
      <c r="C11" s="23">
        <v>10000</v>
      </c>
      <c r="D11" t="s">
        <v>29</v>
      </c>
      <c r="E11" s="13">
        <f>C11*'Data input'!D14</f>
        <v>40000</v>
      </c>
      <c r="F11" s="13">
        <v>40</v>
      </c>
      <c r="G11" s="11">
        <f>30+$G$5-2015</f>
        <v>32</v>
      </c>
      <c r="H11" s="34">
        <f t="shared" ref="H11:H25" si="4">(E11*G11/F11)</f>
        <v>32000</v>
      </c>
      <c r="I11" s="12">
        <f>($E$11*($G$11+I4)/$F$11)</f>
        <v>33000</v>
      </c>
      <c r="J11" s="12">
        <f t="shared" ref="J11:R11" si="5">($E$11*($G$11+J4)/$F$11)</f>
        <v>34000</v>
      </c>
      <c r="K11" s="12">
        <f t="shared" si="5"/>
        <v>35000</v>
      </c>
      <c r="L11" s="12">
        <f t="shared" si="5"/>
        <v>36000</v>
      </c>
      <c r="M11" s="12">
        <f t="shared" si="5"/>
        <v>37000</v>
      </c>
      <c r="N11" s="12">
        <f t="shared" si="5"/>
        <v>38000</v>
      </c>
      <c r="O11" s="12">
        <f t="shared" si="5"/>
        <v>39000</v>
      </c>
      <c r="P11" s="12">
        <f t="shared" si="5"/>
        <v>40000</v>
      </c>
      <c r="Q11" s="12">
        <f t="shared" si="5"/>
        <v>41000</v>
      </c>
      <c r="R11" s="12">
        <f t="shared" si="5"/>
        <v>42000</v>
      </c>
    </row>
    <row r="12" spans="1:19" x14ac:dyDescent="0.25">
      <c r="A12" t="s">
        <v>100</v>
      </c>
      <c r="C12" s="23">
        <f>'Data input'!D15</f>
        <v>3000</v>
      </c>
      <c r="D12" t="s">
        <v>93</v>
      </c>
      <c r="E12" s="13">
        <f>C12</f>
        <v>3000</v>
      </c>
      <c r="F12" s="13">
        <v>40</v>
      </c>
      <c r="G12" s="11">
        <f>30+$G$5-2015</f>
        <v>32</v>
      </c>
      <c r="H12" s="34">
        <f t="shared" si="4"/>
        <v>2400</v>
      </c>
      <c r="I12" s="12">
        <f>($E$12*($G$12+I4)/$F$12)</f>
        <v>2475</v>
      </c>
      <c r="J12" s="12">
        <f t="shared" ref="J12:R12" si="6">($E$12*($G$12+J4)/$F$12)</f>
        <v>2550</v>
      </c>
      <c r="K12" s="12">
        <f t="shared" si="6"/>
        <v>2625</v>
      </c>
      <c r="L12" s="12">
        <f t="shared" si="6"/>
        <v>2700</v>
      </c>
      <c r="M12" s="12">
        <f t="shared" si="6"/>
        <v>2775</v>
      </c>
      <c r="N12" s="12">
        <f t="shared" si="6"/>
        <v>2850</v>
      </c>
      <c r="O12" s="12">
        <f t="shared" si="6"/>
        <v>2925</v>
      </c>
      <c r="P12" s="12">
        <f t="shared" si="6"/>
        <v>3000</v>
      </c>
      <c r="Q12" s="12">
        <f t="shared" si="6"/>
        <v>3075</v>
      </c>
      <c r="R12" s="12">
        <f t="shared" si="6"/>
        <v>3150</v>
      </c>
    </row>
    <row r="13" spans="1:19" x14ac:dyDescent="0.25">
      <c r="A13" t="s">
        <v>30</v>
      </c>
      <c r="E13" s="13"/>
      <c r="F13" s="13"/>
      <c r="G13" s="11"/>
      <c r="H13" s="34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x14ac:dyDescent="0.25">
      <c r="A14" s="64" t="s">
        <v>31</v>
      </c>
      <c r="B14" s="64"/>
      <c r="C14" s="23">
        <v>1600</v>
      </c>
      <c r="D14" t="s">
        <v>29</v>
      </c>
      <c r="E14" s="13">
        <f>C14*'Data input'!D9</f>
        <v>12000</v>
      </c>
      <c r="F14" s="13">
        <v>30</v>
      </c>
      <c r="G14" s="11">
        <v>10</v>
      </c>
      <c r="H14" s="34">
        <f>($E$14*$G$14/$F$14)</f>
        <v>4000</v>
      </c>
      <c r="I14" s="12">
        <f>($E$14*($G$14+I4)/$F$14)</f>
        <v>4400</v>
      </c>
      <c r="J14" s="12">
        <f t="shared" ref="J14:R14" si="7">($E$14*($G$14+J4)/$F$14)</f>
        <v>4800</v>
      </c>
      <c r="K14" s="12">
        <f t="shared" si="7"/>
        <v>5200</v>
      </c>
      <c r="L14" s="12">
        <f t="shared" si="7"/>
        <v>5600</v>
      </c>
      <c r="M14" s="12">
        <f t="shared" si="7"/>
        <v>6000</v>
      </c>
      <c r="N14" s="12">
        <f t="shared" si="7"/>
        <v>6400</v>
      </c>
      <c r="O14" s="12">
        <f t="shared" si="7"/>
        <v>6800</v>
      </c>
      <c r="P14" s="12">
        <f t="shared" si="7"/>
        <v>7200</v>
      </c>
      <c r="Q14" s="12">
        <f t="shared" si="7"/>
        <v>7600</v>
      </c>
      <c r="R14" s="12">
        <f t="shared" si="7"/>
        <v>8000</v>
      </c>
    </row>
    <row r="15" spans="1:19" x14ac:dyDescent="0.25">
      <c r="A15" s="64" t="s">
        <v>32</v>
      </c>
      <c r="B15" s="64"/>
      <c r="C15" s="23">
        <v>1650</v>
      </c>
      <c r="D15" t="s">
        <v>29</v>
      </c>
      <c r="E15" s="13">
        <f>C15*'Data input'!D10</f>
        <v>3300</v>
      </c>
      <c r="F15" s="13">
        <v>25</v>
      </c>
      <c r="G15" s="11">
        <f>15+$G$5-2015</f>
        <v>17</v>
      </c>
      <c r="H15" s="34">
        <f>($E$15*$G$15/$F$15)</f>
        <v>2244</v>
      </c>
      <c r="I15" s="12">
        <f>($E$15*($G$15+I4)/$F$15)</f>
        <v>2376</v>
      </c>
      <c r="J15" s="12">
        <f t="shared" ref="J15:R15" si="8">($E$15*($G$15+J4)/$F$15)</f>
        <v>2508</v>
      </c>
      <c r="K15" s="12">
        <f t="shared" si="8"/>
        <v>2640</v>
      </c>
      <c r="L15" s="12">
        <f t="shared" si="8"/>
        <v>2772</v>
      </c>
      <c r="M15" s="12">
        <f t="shared" si="8"/>
        <v>2904</v>
      </c>
      <c r="N15" s="12">
        <f t="shared" si="8"/>
        <v>3036</v>
      </c>
      <c r="O15" s="12">
        <f t="shared" si="8"/>
        <v>3168</v>
      </c>
      <c r="P15" s="12">
        <f t="shared" si="8"/>
        <v>3300</v>
      </c>
      <c r="Q15" s="12">
        <f t="shared" si="8"/>
        <v>3432</v>
      </c>
      <c r="R15" s="12">
        <f t="shared" si="8"/>
        <v>3564</v>
      </c>
    </row>
    <row r="16" spans="1:19" x14ac:dyDescent="0.25">
      <c r="A16" s="64" t="s">
        <v>33</v>
      </c>
      <c r="B16" s="64"/>
      <c r="C16" s="23">
        <v>1600</v>
      </c>
      <c r="D16" t="s">
        <v>29</v>
      </c>
      <c r="E16" s="13">
        <v>3200</v>
      </c>
      <c r="F16" s="13">
        <v>8</v>
      </c>
      <c r="G16" s="11">
        <v>0</v>
      </c>
      <c r="H16" s="34">
        <f>($E$16*$G$16/$F$16)</f>
        <v>0</v>
      </c>
      <c r="I16" s="12">
        <f>$E$16*(I4)/$F$16</f>
        <v>400</v>
      </c>
      <c r="J16" s="12">
        <f>$E$16*(J4)/$F$16</f>
        <v>800</v>
      </c>
      <c r="K16" s="12">
        <f>$E$16*(K4)/$F$16</f>
        <v>1200</v>
      </c>
      <c r="L16" s="12">
        <f>$E$16*(L4)/$F$16</f>
        <v>1600</v>
      </c>
      <c r="M16" s="12">
        <f t="shared" ref="M16:R16" si="9">$E$16*(M4)/$F$16</f>
        <v>2000</v>
      </c>
      <c r="N16" s="12">
        <f t="shared" si="9"/>
        <v>2400</v>
      </c>
      <c r="O16" s="12">
        <f t="shared" si="9"/>
        <v>2800</v>
      </c>
      <c r="P16" s="12">
        <f t="shared" si="9"/>
        <v>3200</v>
      </c>
      <c r="Q16" s="12">
        <f t="shared" si="9"/>
        <v>3600</v>
      </c>
      <c r="R16" s="12">
        <f t="shared" si="9"/>
        <v>4000</v>
      </c>
    </row>
    <row r="17" spans="1:19" x14ac:dyDescent="0.25">
      <c r="B17" s="3" t="s">
        <v>5</v>
      </c>
      <c r="C17" s="23">
        <v>200</v>
      </c>
      <c r="D17" t="s">
        <v>34</v>
      </c>
      <c r="E17" s="13">
        <f>C17*'Data input'!D11</f>
        <v>1000</v>
      </c>
      <c r="F17" s="13">
        <v>25</v>
      </c>
      <c r="G17" s="11">
        <f>15+$G$5-2015</f>
        <v>17</v>
      </c>
      <c r="H17" s="34">
        <f>($E$17*$G$17/$F$17)</f>
        <v>680</v>
      </c>
      <c r="I17" s="12">
        <f>($E$17*($G$17+I4)/$F$17)</f>
        <v>720</v>
      </c>
      <c r="J17" s="12">
        <f t="shared" ref="J17:R17" si="10">($E$17*($G$17+J4)/$F$17)</f>
        <v>760</v>
      </c>
      <c r="K17" s="12">
        <f t="shared" si="10"/>
        <v>800</v>
      </c>
      <c r="L17" s="12">
        <f t="shared" si="10"/>
        <v>840</v>
      </c>
      <c r="M17" s="12">
        <f t="shared" si="10"/>
        <v>880</v>
      </c>
      <c r="N17" s="12">
        <f t="shared" si="10"/>
        <v>920</v>
      </c>
      <c r="O17" s="12">
        <f t="shared" si="10"/>
        <v>960</v>
      </c>
      <c r="P17" s="12">
        <f t="shared" si="10"/>
        <v>1000</v>
      </c>
      <c r="Q17" s="12">
        <f t="shared" si="10"/>
        <v>1040</v>
      </c>
      <c r="R17" s="12">
        <f t="shared" si="10"/>
        <v>1080</v>
      </c>
    </row>
    <row r="18" spans="1:19" x14ac:dyDescent="0.25">
      <c r="B18" s="3" t="s">
        <v>35</v>
      </c>
      <c r="C18" s="23">
        <v>2500</v>
      </c>
      <c r="D18" t="s">
        <v>93</v>
      </c>
      <c r="E18" s="13">
        <f>C18</f>
        <v>2500</v>
      </c>
      <c r="F18" s="13">
        <v>40</v>
      </c>
      <c r="G18" s="11">
        <v>15</v>
      </c>
      <c r="H18" s="34">
        <f>($E$18*$G$18/$F$18)</f>
        <v>937.5</v>
      </c>
      <c r="I18" s="40">
        <f>($E$18*($G$18+I4)/$F$18)</f>
        <v>1000</v>
      </c>
      <c r="J18" s="40">
        <f t="shared" ref="J18:R18" si="11">($E$18*($G$18+J4)/$F$18)</f>
        <v>1062.5</v>
      </c>
      <c r="K18" s="40">
        <f t="shared" si="11"/>
        <v>1125</v>
      </c>
      <c r="L18" s="40">
        <f t="shared" si="11"/>
        <v>1187.5</v>
      </c>
      <c r="M18" s="40">
        <f t="shared" si="11"/>
        <v>1250</v>
      </c>
      <c r="N18" s="40">
        <f t="shared" si="11"/>
        <v>1312.5</v>
      </c>
      <c r="O18" s="40">
        <f t="shared" si="11"/>
        <v>1375</v>
      </c>
      <c r="P18" s="40">
        <f t="shared" si="11"/>
        <v>1437.5</v>
      </c>
      <c r="Q18" s="40">
        <f t="shared" si="11"/>
        <v>1500</v>
      </c>
      <c r="R18" s="40">
        <f t="shared" si="11"/>
        <v>1562.5</v>
      </c>
    </row>
    <row r="19" spans="1:19" x14ac:dyDescent="0.25">
      <c r="A19" t="s">
        <v>98</v>
      </c>
      <c r="C19" s="23"/>
      <c r="E19" s="13">
        <v>8000</v>
      </c>
      <c r="F19" s="13">
        <v>40</v>
      </c>
      <c r="G19" s="11">
        <f>30+$G$5-2015</f>
        <v>32</v>
      </c>
      <c r="H19" s="34">
        <f t="shared" si="4"/>
        <v>6400</v>
      </c>
      <c r="I19" s="12">
        <f>($E$19*($G$19+I4)/$F$19)</f>
        <v>6600</v>
      </c>
      <c r="J19" s="12">
        <f t="shared" ref="J19:R19" si="12">($E$19*($G$19+J4)/$F$19)</f>
        <v>6800</v>
      </c>
      <c r="K19" s="12">
        <f t="shared" si="12"/>
        <v>7000</v>
      </c>
      <c r="L19" s="12">
        <f t="shared" si="12"/>
        <v>7200</v>
      </c>
      <c r="M19" s="12">
        <f t="shared" si="12"/>
        <v>7400</v>
      </c>
      <c r="N19" s="12">
        <f t="shared" si="12"/>
        <v>7600</v>
      </c>
      <c r="O19" s="12">
        <f t="shared" si="12"/>
        <v>7800</v>
      </c>
      <c r="P19" s="12">
        <f t="shared" si="12"/>
        <v>8000</v>
      </c>
      <c r="Q19" s="12">
        <f t="shared" si="12"/>
        <v>8200</v>
      </c>
      <c r="R19" s="12">
        <f t="shared" si="12"/>
        <v>8400</v>
      </c>
    </row>
    <row r="20" spans="1:19" x14ac:dyDescent="0.25">
      <c r="A20" t="s">
        <v>36</v>
      </c>
      <c r="C20" s="23"/>
      <c r="E20" s="13"/>
      <c r="F20" s="13"/>
      <c r="G20" s="11"/>
      <c r="H20" s="3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B21" s="3" t="s">
        <v>37</v>
      </c>
      <c r="C21" s="23">
        <v>505</v>
      </c>
      <c r="D21" t="s">
        <v>29</v>
      </c>
      <c r="E21" s="13">
        <f>C21*'Data input'!D9</f>
        <v>3787.5</v>
      </c>
      <c r="F21" s="13">
        <v>30</v>
      </c>
      <c r="G21" s="11">
        <v>12</v>
      </c>
      <c r="H21" s="34">
        <f>($E$21*$G$21/$F$21)</f>
        <v>1515</v>
      </c>
      <c r="I21" s="12">
        <f>($E$21*($G$21+I4)/$F$21)</f>
        <v>1641.25</v>
      </c>
      <c r="J21" s="12">
        <f t="shared" ref="J21:R21" si="13">($E$21*($G$21+J4)/$F$21)</f>
        <v>1767.5</v>
      </c>
      <c r="K21" s="12">
        <f t="shared" si="13"/>
        <v>1893.75</v>
      </c>
      <c r="L21" s="12">
        <f t="shared" si="13"/>
        <v>2020</v>
      </c>
      <c r="M21" s="12">
        <f t="shared" si="13"/>
        <v>2146.25</v>
      </c>
      <c r="N21" s="12">
        <f t="shared" si="13"/>
        <v>2272.5</v>
      </c>
      <c r="O21" s="12">
        <f t="shared" si="13"/>
        <v>2398.75</v>
      </c>
      <c r="P21" s="12">
        <f t="shared" si="13"/>
        <v>2525</v>
      </c>
      <c r="Q21" s="12">
        <f t="shared" si="13"/>
        <v>2651.25</v>
      </c>
      <c r="R21" s="12">
        <f t="shared" si="13"/>
        <v>2777.5</v>
      </c>
    </row>
    <row r="22" spans="1:19" x14ac:dyDescent="0.25">
      <c r="B22" s="3" t="s">
        <v>32</v>
      </c>
      <c r="C22" s="23">
        <v>380</v>
      </c>
      <c r="D22" t="s">
        <v>29</v>
      </c>
      <c r="E22" s="13">
        <f>C22*'Data input'!D10</f>
        <v>760</v>
      </c>
      <c r="F22" s="13">
        <v>20</v>
      </c>
      <c r="G22" s="11">
        <f t="shared" ref="G22" si="14">15+$G$5-2015</f>
        <v>17</v>
      </c>
      <c r="H22" s="34">
        <f>($E$22*$G$22/$F$22)</f>
        <v>646</v>
      </c>
      <c r="I22" s="12">
        <f>($E$22*($G$22+I4)/$F$22)</f>
        <v>684</v>
      </c>
      <c r="J22" s="12">
        <f t="shared" ref="J22:R22" si="15">($E$22*($G$22+J4)/$F$22)</f>
        <v>722</v>
      </c>
      <c r="K22" s="12">
        <f t="shared" si="15"/>
        <v>760</v>
      </c>
      <c r="L22" s="12">
        <f t="shared" si="15"/>
        <v>798</v>
      </c>
      <c r="M22" s="12">
        <f t="shared" si="15"/>
        <v>836</v>
      </c>
      <c r="N22" s="12">
        <f t="shared" si="15"/>
        <v>874</v>
      </c>
      <c r="O22" s="12">
        <f t="shared" si="15"/>
        <v>912</v>
      </c>
      <c r="P22" s="12">
        <f t="shared" si="15"/>
        <v>950</v>
      </c>
      <c r="Q22" s="12">
        <f t="shared" si="15"/>
        <v>988</v>
      </c>
      <c r="R22" s="12">
        <f t="shared" si="15"/>
        <v>1026</v>
      </c>
    </row>
    <row r="23" spans="1:19" x14ac:dyDescent="0.25">
      <c r="B23" s="3" t="s">
        <v>38</v>
      </c>
      <c r="C23" s="23">
        <v>505</v>
      </c>
      <c r="D23" t="s">
        <v>29</v>
      </c>
      <c r="E23" s="13">
        <f>C23*'Data input'!D8</f>
        <v>1010</v>
      </c>
      <c r="F23" s="13">
        <v>8</v>
      </c>
      <c r="G23" s="11">
        <v>0</v>
      </c>
      <c r="H23" s="34">
        <f>($E$23*$G$23/$F$23)</f>
        <v>0</v>
      </c>
      <c r="I23" s="12">
        <f>($E$23*(I4)/$F$23)</f>
        <v>126.25</v>
      </c>
      <c r="J23" s="12">
        <f t="shared" ref="J23:R23" si="16">($E$23*(J4)/$F$23)</f>
        <v>252.5</v>
      </c>
      <c r="K23" s="12">
        <f t="shared" si="16"/>
        <v>378.75</v>
      </c>
      <c r="L23" s="12">
        <f t="shared" si="16"/>
        <v>505</v>
      </c>
      <c r="M23" s="12">
        <f t="shared" si="16"/>
        <v>631.25</v>
      </c>
      <c r="N23" s="12">
        <f t="shared" si="16"/>
        <v>757.5</v>
      </c>
      <c r="O23" s="12">
        <f t="shared" si="16"/>
        <v>883.75</v>
      </c>
      <c r="P23" s="12">
        <f t="shared" si="16"/>
        <v>1010</v>
      </c>
      <c r="Q23" s="12">
        <f t="shared" si="16"/>
        <v>1136.25</v>
      </c>
      <c r="R23" s="12">
        <f t="shared" si="16"/>
        <v>1262.5</v>
      </c>
    </row>
    <row r="24" spans="1:19" x14ac:dyDescent="0.25">
      <c r="A24" t="s">
        <v>39</v>
      </c>
      <c r="E24" s="13">
        <v>2000</v>
      </c>
      <c r="F24" s="13">
        <v>30</v>
      </c>
      <c r="G24" s="11">
        <f>20+$G$5-2015</f>
        <v>22</v>
      </c>
      <c r="H24" s="34">
        <f t="shared" si="4"/>
        <v>1466.6666666666667</v>
      </c>
      <c r="I24" s="12">
        <f t="shared" ref="I24:R24" si="17">($E$24*($G$24+I4)/$F$24)</f>
        <v>1533.3333333333333</v>
      </c>
      <c r="J24" s="12">
        <f t="shared" si="17"/>
        <v>1600</v>
      </c>
      <c r="K24" s="12">
        <f t="shared" si="17"/>
        <v>1666.6666666666667</v>
      </c>
      <c r="L24" s="12">
        <f t="shared" si="17"/>
        <v>1733.3333333333333</v>
      </c>
      <c r="M24" s="12">
        <f t="shared" si="17"/>
        <v>1800</v>
      </c>
      <c r="N24" s="12">
        <f t="shared" si="17"/>
        <v>1866.6666666666667</v>
      </c>
      <c r="O24" s="12">
        <f t="shared" si="17"/>
        <v>1933.3333333333333</v>
      </c>
      <c r="P24" s="12">
        <f t="shared" si="17"/>
        <v>2000</v>
      </c>
      <c r="Q24" s="12">
        <f t="shared" si="17"/>
        <v>2066.6666666666665</v>
      </c>
      <c r="R24" s="12">
        <f t="shared" si="17"/>
        <v>2133.3333333333335</v>
      </c>
      <c r="S24" s="12"/>
    </row>
    <row r="25" spans="1:19" x14ac:dyDescent="0.25">
      <c r="A25" t="s">
        <v>40</v>
      </c>
      <c r="E25" s="13">
        <v>12000</v>
      </c>
      <c r="F25" s="13">
        <v>10</v>
      </c>
      <c r="G25" s="11">
        <f t="shared" ref="G25" si="18">5+$G$5-2015</f>
        <v>7</v>
      </c>
      <c r="H25" s="34">
        <f t="shared" si="4"/>
        <v>8400</v>
      </c>
      <c r="I25" s="12">
        <f t="shared" ref="I25:R25" si="19">($E$25*($G$25+I4)/$F$25)</f>
        <v>9600</v>
      </c>
      <c r="J25" s="12">
        <f t="shared" si="19"/>
        <v>10800</v>
      </c>
      <c r="K25" s="12">
        <f t="shared" si="19"/>
        <v>12000</v>
      </c>
      <c r="L25" s="12">
        <f t="shared" si="19"/>
        <v>13200</v>
      </c>
      <c r="M25" s="12">
        <f t="shared" si="19"/>
        <v>14400</v>
      </c>
      <c r="N25" s="12">
        <f t="shared" si="19"/>
        <v>15600</v>
      </c>
      <c r="O25" s="12">
        <f t="shared" si="19"/>
        <v>16800</v>
      </c>
      <c r="P25" s="12">
        <f t="shared" si="19"/>
        <v>18000</v>
      </c>
      <c r="Q25" s="12">
        <f t="shared" si="19"/>
        <v>19200</v>
      </c>
      <c r="R25" s="12">
        <f t="shared" si="19"/>
        <v>20400</v>
      </c>
    </row>
    <row r="26" spans="1:19" x14ac:dyDescent="0.25">
      <c r="E26" s="11"/>
      <c r="F26" s="11"/>
      <c r="G26" s="11"/>
      <c r="H26" s="34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9" x14ac:dyDescent="0.25">
      <c r="A27" t="s">
        <v>41</v>
      </c>
      <c r="H27" s="34">
        <f t="shared" ref="H27:R27" si="20">SUM(H9:H25)</f>
        <v>67455.833333333328</v>
      </c>
      <c r="I27" s="12">
        <f t="shared" si="20"/>
        <v>71622.5</v>
      </c>
      <c r="J27" s="12">
        <f t="shared" si="20"/>
        <v>75789.166666666657</v>
      </c>
      <c r="K27" s="12">
        <f t="shared" si="20"/>
        <v>79955.833333333328</v>
      </c>
      <c r="L27" s="12">
        <f t="shared" si="20"/>
        <v>84122.499999999985</v>
      </c>
      <c r="M27" s="12">
        <f t="shared" si="20"/>
        <v>88289.166666666657</v>
      </c>
      <c r="N27" s="12">
        <f t="shared" si="20"/>
        <v>92455.833333333343</v>
      </c>
      <c r="O27" s="12">
        <f t="shared" si="20"/>
        <v>96622.499999999985</v>
      </c>
      <c r="P27" s="12">
        <f t="shared" si="20"/>
        <v>100789.16666666666</v>
      </c>
      <c r="Q27" s="12">
        <f t="shared" si="20"/>
        <v>104955.83333333333</v>
      </c>
      <c r="R27" s="12">
        <f t="shared" si="20"/>
        <v>109122.5</v>
      </c>
    </row>
    <row r="28" spans="1:19" x14ac:dyDescent="0.25">
      <c r="A28" s="66" t="s">
        <v>42</v>
      </c>
      <c r="B28" s="66"/>
      <c r="C28" s="66"/>
      <c r="D28" s="66"/>
      <c r="E28" s="4"/>
      <c r="F28" s="4"/>
      <c r="G28" s="4"/>
      <c r="H28" s="34">
        <f>SUM(H9:H25)</f>
        <v>67455.833333333328</v>
      </c>
      <c r="I28" s="12">
        <f>SUM(I9:I25)*(1+'Data input'!$D$23/100)^I4</f>
        <v>72338.725000000006</v>
      </c>
      <c r="J28" s="12">
        <f>SUM(J9:J25)*(1+'Data input'!$D$23/100)^J4</f>
        <v>77312.528916666663</v>
      </c>
      <c r="K28" s="12">
        <f>SUM(K9:K25)*(1+'Data input'!$D$23/100)^K4</f>
        <v>82378.575039166652</v>
      </c>
      <c r="L28" s="12">
        <f>SUM(L9:L25)*(1+'Data input'!$D$23/100)^L4</f>
        <v>87538.210831224991</v>
      </c>
      <c r="M28" s="12">
        <f>SUM(M9:M25)*(1+'Data input'!$D$23/100)^M4</f>
        <v>92792.801481620569</v>
      </c>
      <c r="N28" s="12">
        <f>SUM(N9:N25)*(1+'Data input'!$D$23/100)^N4</f>
        <v>98143.730123940972</v>
      </c>
      <c r="O28" s="12">
        <f>SUM(O9:O25)*(1+'Data input'!$D$23/100)^O4</f>
        <v>103592.39805895954</v>
      </c>
      <c r="P28" s="12">
        <f>SUM(P9:P25)*(1+'Data input'!$D$23/100)^P4</f>
        <v>109140.22497966618</v>
      </c>
      <c r="Q28" s="12">
        <f>SUM(Q9:Q25)*(1+'Data input'!$D$23/100)^Q4</f>
        <v>114788.64919898102</v>
      </c>
      <c r="R28" s="12">
        <f>SUM(R9:R25)*(1+'Data input'!$D$23/100)^R4</f>
        <v>120539.12788018418</v>
      </c>
      <c r="S28" s="12"/>
    </row>
    <row r="29" spans="1:19" x14ac:dyDescent="0.25">
      <c r="A29" s="10"/>
      <c r="B29" s="10"/>
      <c r="C29" s="10"/>
      <c r="D29" s="10"/>
      <c r="E29" s="10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66" t="s">
        <v>113</v>
      </c>
      <c r="B30" s="66"/>
      <c r="C30" s="66"/>
      <c r="D30" s="66"/>
      <c r="E30" s="66"/>
      <c r="F30" s="66"/>
      <c r="G30" s="12"/>
      <c r="H30" s="34">
        <f>'Data input'!I30</f>
        <v>88769</v>
      </c>
      <c r="I30" s="12">
        <f>H30*(1+ 'Data input'!$D$22/100)+$O$39 -'Data input'!I24-'Data input'!I25</f>
        <v>89176.69</v>
      </c>
      <c r="J30" s="12">
        <f>I30*(1+ 'Data input'!$D$22/100)+$O$39</f>
        <v>93888.456900000005</v>
      </c>
      <c r="K30" s="12">
        <f>J30*(1+ 'Data input'!$D$22/100)+$O$39</f>
        <v>98647.341469000006</v>
      </c>
      <c r="L30" s="12">
        <f>K30*(1+ 'Data input'!$D$22/100)+$O$39</f>
        <v>103453.81488369001</v>
      </c>
      <c r="M30" s="12">
        <f>L30*(1+ 'Data input'!$D$22/100)+$O$39</f>
        <v>108308.35303252691</v>
      </c>
      <c r="N30" s="12">
        <f>M30*(1+ 'Data input'!$D$22/100)+$O$39</f>
        <v>113211.43656285218</v>
      </c>
      <c r="O30" s="12">
        <f>N30*(1+ 'Data input'!$D$22/100)+$O$39</f>
        <v>118163.5509284807</v>
      </c>
      <c r="P30" s="12">
        <f>O30*(1+ 'Data input'!$D$22/100)+$O$39</f>
        <v>123165.18643776551</v>
      </c>
      <c r="Q30" s="12">
        <f>P30*(1+ 'Data input'!$D$22/100)+$O$39</f>
        <v>128216.83830214317</v>
      </c>
      <c r="R30" s="12">
        <f>Q30*(1+ 'Data input'!$D$22/100)+$O$39</f>
        <v>133319.00668516458</v>
      </c>
      <c r="S30" s="12"/>
    </row>
    <row r="31" spans="1:19" x14ac:dyDescent="0.25">
      <c r="A31" s="66" t="s">
        <v>43</v>
      </c>
      <c r="B31" s="66"/>
      <c r="C31" s="66"/>
      <c r="D31" s="66"/>
      <c r="E31" s="66"/>
      <c r="H31" s="34">
        <f>H28-H30</f>
        <v>-21313.166666666672</v>
      </c>
      <c r="I31" s="12">
        <f>I28-I30</f>
        <v>-16837.964999999997</v>
      </c>
      <c r="J31" s="12">
        <f>J28-J30</f>
        <v>-16575.927983333342</v>
      </c>
      <c r="K31" s="12">
        <f t="shared" ref="K31:R31" si="21">K28-K30</f>
        <v>-16268.766429833355</v>
      </c>
      <c r="L31" s="12">
        <f t="shared" si="21"/>
        <v>-15915.604052465016</v>
      </c>
      <c r="M31" s="12">
        <f t="shared" si="21"/>
        <v>-15515.551550906341</v>
      </c>
      <c r="N31" s="12">
        <f t="shared" si="21"/>
        <v>-15067.706438911206</v>
      </c>
      <c r="O31" s="12">
        <f t="shared" si="21"/>
        <v>-14571.15286952116</v>
      </c>
      <c r="P31" s="12">
        <f t="shared" si="21"/>
        <v>-14024.961458099337</v>
      </c>
      <c r="Q31" s="12">
        <f t="shared" si="21"/>
        <v>-13428.189103162149</v>
      </c>
      <c r="R31" s="12">
        <f t="shared" si="21"/>
        <v>-12779.878804980399</v>
      </c>
      <c r="S31" s="12"/>
    </row>
    <row r="32" spans="1:19" x14ac:dyDescent="0.25">
      <c r="A32" s="66" t="s">
        <v>44</v>
      </c>
      <c r="B32" s="66"/>
      <c r="C32" s="66"/>
      <c r="D32" s="66"/>
      <c r="E32" s="66"/>
      <c r="H32" s="34">
        <f>H31/('Data input'!$L$8+'Data input'!$L$9/2)</f>
        <v>-338.30423280423287</v>
      </c>
      <c r="I32" s="12">
        <f>I31/('Data input'!$L$8+'Data input'!$L$9/2)</f>
        <v>-267.26928571428567</v>
      </c>
      <c r="J32" s="12">
        <f>J31/('Data input'!$L$8+'Data input'!$L$9/2)</f>
        <v>-263.10996798941812</v>
      </c>
      <c r="K32" s="12">
        <f>K31/('Data input'!$L$8+'Data input'!$L$9/2)</f>
        <v>-258.23438777513263</v>
      </c>
      <c r="L32" s="12">
        <f>L31/('Data input'!$L$8+'Data input'!$L$9/2)</f>
        <v>-252.62863575341296</v>
      </c>
      <c r="M32" s="12">
        <f>M31/('Data input'!$L$8+'Data input'!$L$9/2)</f>
        <v>-246.27859604613238</v>
      </c>
      <c r="N32" s="12">
        <f>N31/('Data input'!$L$8+'Data input'!$L$9/2)</f>
        <v>-239.16994347478104</v>
      </c>
      <c r="O32" s="12">
        <f>O31/('Data input'!$L$8+'Data input'!$L$9/2)</f>
        <v>-231.28814078605015</v>
      </c>
      <c r="P32" s="12">
        <f>P31/('Data input'!$L$8+'Data input'!$L$9/2)</f>
        <v>-222.61843584284662</v>
      </c>
      <c r="Q32" s="12">
        <f>Q31/('Data input'!$L$8+'Data input'!$L$9/2)</f>
        <v>-213.14585878035157</v>
      </c>
      <c r="R32" s="12">
        <f>R31/('Data input'!$L$8+'Data input'!$L$9/2)</f>
        <v>-202.85521912667301</v>
      </c>
      <c r="S32" s="12"/>
    </row>
    <row r="33" spans="1:19" x14ac:dyDescent="0.25">
      <c r="A33" s="10" t="s">
        <v>45</v>
      </c>
      <c r="B33" s="10"/>
      <c r="C33" s="10"/>
      <c r="D33" s="10"/>
      <c r="E33" s="10"/>
      <c r="H33" s="34">
        <f>100*H30/H28</f>
        <v>131.59573548124081</v>
      </c>
      <c r="I33" s="12">
        <f>100*I30/I28</f>
        <v>123.27655761143149</v>
      </c>
      <c r="J33" s="12">
        <f>100*J30/J28</f>
        <v>121.44015752116988</v>
      </c>
      <c r="K33" s="12">
        <f t="shared" ref="K33:R33" si="22">100*K30/K28</f>
        <v>119.7487834938859</v>
      </c>
      <c r="L33" s="12">
        <f t="shared" si="22"/>
        <v>118.18132207791012</v>
      </c>
      <c r="M33" s="12">
        <f t="shared" si="22"/>
        <v>116.72064136783229</v>
      </c>
      <c r="N33" s="12">
        <f t="shared" si="22"/>
        <v>115.35269387039082</v>
      </c>
      <c r="O33" s="12">
        <f t="shared" si="22"/>
        <v>114.06585149349279</v>
      </c>
      <c r="P33" s="12">
        <f t="shared" si="22"/>
        <v>112.85040548588965</v>
      </c>
      <c r="Q33" s="12">
        <f t="shared" si="22"/>
        <v>111.69818548860609</v>
      </c>
      <c r="R33" s="12">
        <f t="shared" si="22"/>
        <v>110.60226586149155</v>
      </c>
      <c r="S33" s="12"/>
    </row>
    <row r="35" spans="1:19" x14ac:dyDescent="0.25">
      <c r="A35" s="64" t="s">
        <v>46</v>
      </c>
      <c r="B35" s="64"/>
      <c r="C35" s="64"/>
      <c r="D35" s="59">
        <f>('Data input'!K8*'Data input'!L8+'Data input'!K9*'Data input'!L9)*4</f>
        <v>50400</v>
      </c>
      <c r="E35" s="3"/>
      <c r="F35" s="14"/>
      <c r="G35" s="14"/>
      <c r="N35" s="4"/>
      <c r="O35" s="4"/>
      <c r="P35" s="4"/>
    </row>
    <row r="36" spans="1:19" x14ac:dyDescent="0.25">
      <c r="B36" s="3"/>
      <c r="C36" s="3"/>
      <c r="D36" s="3"/>
      <c r="E36" s="3"/>
      <c r="F36" s="14"/>
      <c r="G36" s="14"/>
      <c r="H36" s="3"/>
      <c r="I36" s="3"/>
      <c r="J36" s="3"/>
      <c r="K36" s="15"/>
    </row>
    <row r="37" spans="1:19" x14ac:dyDescent="0.25">
      <c r="B37" s="4"/>
      <c r="C37" s="4"/>
      <c r="D37" s="4"/>
      <c r="E37" s="4"/>
      <c r="F37" s="4"/>
      <c r="G37" s="4"/>
      <c r="H37" s="4"/>
      <c r="I37" s="4"/>
      <c r="J37" s="4"/>
      <c r="K37" s="11"/>
    </row>
    <row r="38" spans="1:19" ht="15.75" thickBot="1" x14ac:dyDescent="0.3">
      <c r="A38" s="66" t="s">
        <v>120</v>
      </c>
      <c r="B38" s="66"/>
      <c r="C38" s="66"/>
      <c r="D38" s="4"/>
      <c r="E38" s="4"/>
      <c r="F38" s="14"/>
      <c r="G38" s="4"/>
      <c r="H38" s="4"/>
      <c r="I38" s="4"/>
      <c r="J38" s="4"/>
    </row>
    <row r="39" spans="1:19" x14ac:dyDescent="0.25">
      <c r="B39" s="64" t="s">
        <v>56</v>
      </c>
      <c r="C39" s="64"/>
      <c r="D39" s="58">
        <f>'Data input'!D30</f>
        <v>32450</v>
      </c>
      <c r="E39" s="4"/>
      <c r="F39" s="64" t="s">
        <v>57</v>
      </c>
      <c r="G39" s="64"/>
      <c r="H39" s="64"/>
      <c r="I39" s="4">
        <f>SUM(D39:D43)</f>
        <v>46580</v>
      </c>
      <c r="J39" s="4"/>
      <c r="K39" s="86" t="s">
        <v>47</v>
      </c>
      <c r="L39" s="87"/>
      <c r="M39" s="87"/>
      <c r="N39" s="87"/>
      <c r="O39" s="84">
        <f>D35-I39</f>
        <v>3820</v>
      </c>
    </row>
    <row r="40" spans="1:19" ht="15.75" thickBot="1" x14ac:dyDescent="0.3">
      <c r="A40" s="4"/>
      <c r="B40" s="4"/>
      <c r="C40" s="3" t="s">
        <v>69</v>
      </c>
      <c r="D40" s="60">
        <v>6150</v>
      </c>
      <c r="E40" s="4"/>
      <c r="F40" s="14"/>
      <c r="G40" s="4"/>
      <c r="H40" s="4"/>
      <c r="I40" s="4"/>
      <c r="J40" s="4"/>
      <c r="K40" s="88"/>
      <c r="L40" s="89"/>
      <c r="M40" s="89"/>
      <c r="N40" s="89"/>
      <c r="O40" s="85"/>
    </row>
    <row r="41" spans="1:19" x14ac:dyDescent="0.25">
      <c r="B41" s="64" t="s">
        <v>51</v>
      </c>
      <c r="C41" s="64"/>
      <c r="D41" s="60">
        <v>4080</v>
      </c>
      <c r="E41" s="4"/>
      <c r="F41" s="11"/>
      <c r="H41" s="4"/>
      <c r="I41" s="4"/>
      <c r="J41" s="4"/>
    </row>
    <row r="42" spans="1:19" x14ac:dyDescent="0.25">
      <c r="B42" s="64" t="s">
        <v>53</v>
      </c>
      <c r="C42" s="64"/>
      <c r="D42" s="60">
        <v>950</v>
      </c>
      <c r="E42" s="4"/>
      <c r="F42" s="11"/>
      <c r="H42" s="4"/>
      <c r="I42" s="4"/>
    </row>
    <row r="43" spans="1:19" x14ac:dyDescent="0.25">
      <c r="B43" s="64" t="s">
        <v>70</v>
      </c>
      <c r="C43" s="64"/>
      <c r="D43" s="60">
        <v>2950</v>
      </c>
      <c r="H43" s="3"/>
      <c r="I43" s="3"/>
    </row>
    <row r="44" spans="1:19" x14ac:dyDescent="0.25">
      <c r="B44" s="3"/>
      <c r="C44" s="3"/>
      <c r="D44" s="3"/>
      <c r="E44" s="3"/>
    </row>
    <row r="45" spans="1:19" x14ac:dyDescent="0.25">
      <c r="A45" t="s">
        <v>101</v>
      </c>
      <c r="B45" s="4"/>
      <c r="C45" s="4"/>
      <c r="D45" s="4"/>
      <c r="E45" s="4"/>
    </row>
    <row r="46" spans="1:19" x14ac:dyDescent="0.25">
      <c r="A46" s="2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9" x14ac:dyDescent="0.25">
      <c r="E47" s="3"/>
    </row>
    <row r="48" spans="1:19" x14ac:dyDescent="0.25">
      <c r="E48" s="16"/>
      <c r="H48" s="12"/>
      <c r="I48" s="9"/>
      <c r="J48" s="9"/>
    </row>
    <row r="49" spans="5:10" x14ac:dyDescent="0.25">
      <c r="E49" s="11"/>
      <c r="H49" s="12"/>
      <c r="I49" s="9"/>
      <c r="J49" s="9"/>
    </row>
  </sheetData>
  <sheetProtection selectLockedCells="1"/>
  <mergeCells count="24">
    <mergeCell ref="O39:O40"/>
    <mergeCell ref="A30:F30"/>
    <mergeCell ref="A31:E31"/>
    <mergeCell ref="A32:E32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4" workbookViewId="0">
      <selection activeCell="T12" sqref="T12"/>
    </sheetView>
  </sheetViews>
  <sheetFormatPr defaultRowHeight="15" x14ac:dyDescent="0.25"/>
  <cols>
    <col min="1" max="1" width="6.85546875" customWidth="1"/>
    <col min="2" max="2" width="9.7109375" customWidth="1"/>
    <col min="4" max="4" width="7.85546875" customWidth="1"/>
  </cols>
  <sheetData>
    <row r="1" spans="1:19" ht="15" customHeight="1" x14ac:dyDescent="0.25">
      <c r="F1" s="78" t="s">
        <v>77</v>
      </c>
      <c r="G1" s="78"/>
      <c r="H1" s="78"/>
      <c r="I1" s="78"/>
      <c r="J1" s="78" t="str">
        <f>'Data input'!H4</f>
        <v>July</v>
      </c>
      <c r="K1" s="78"/>
      <c r="L1" s="78">
        <f>'Data input'!D4</f>
        <v>2017</v>
      </c>
    </row>
    <row r="2" spans="1:19" x14ac:dyDescent="0.25">
      <c r="F2" s="78"/>
      <c r="G2" s="78"/>
      <c r="H2" s="78"/>
      <c r="I2" s="78"/>
      <c r="J2" s="78"/>
      <c r="K2" s="78"/>
      <c r="L2" s="78"/>
    </row>
    <row r="4" spans="1:19" x14ac:dyDescent="0.25">
      <c r="G4" s="53"/>
      <c r="H4" s="53"/>
      <c r="I4" s="2">
        <v>1</v>
      </c>
      <c r="J4" s="2">
        <v>2</v>
      </c>
      <c r="K4" s="2">
        <v>3</v>
      </c>
      <c r="L4" s="2">
        <v>4</v>
      </c>
      <c r="M4" s="2">
        <f>L4+1</f>
        <v>5</v>
      </c>
      <c r="N4" s="2">
        <f t="shared" ref="N4:R5" si="0">M4+1</f>
        <v>6</v>
      </c>
      <c r="O4" s="2">
        <f t="shared" si="0"/>
        <v>7</v>
      </c>
      <c r="P4" s="2">
        <f t="shared" si="0"/>
        <v>8</v>
      </c>
      <c r="Q4" s="2">
        <f t="shared" si="0"/>
        <v>9</v>
      </c>
      <c r="R4" s="2">
        <f t="shared" si="0"/>
        <v>10</v>
      </c>
      <c r="S4" s="2"/>
    </row>
    <row r="5" spans="1:19" x14ac:dyDescent="0.25">
      <c r="E5" s="2" t="s">
        <v>16</v>
      </c>
      <c r="G5" s="81">
        <f>'Data input'!D4</f>
        <v>2017</v>
      </c>
      <c r="H5" s="81"/>
      <c r="I5" s="2">
        <f>G5+1</f>
        <v>2018</v>
      </c>
      <c r="J5" s="2">
        <f>I5+1</f>
        <v>2019</v>
      </c>
      <c r="K5" s="2">
        <f t="shared" ref="K5:M5" si="1">J5+1</f>
        <v>2020</v>
      </c>
      <c r="L5" s="2">
        <f t="shared" si="1"/>
        <v>2021</v>
      </c>
      <c r="M5" s="2">
        <f t="shared" si="1"/>
        <v>2022</v>
      </c>
      <c r="N5" s="2">
        <f t="shared" si="0"/>
        <v>2023</v>
      </c>
      <c r="O5" s="2">
        <f t="shared" si="0"/>
        <v>2024</v>
      </c>
      <c r="P5" s="2">
        <f t="shared" si="0"/>
        <v>2025</v>
      </c>
      <c r="Q5" s="2">
        <f t="shared" si="0"/>
        <v>2026</v>
      </c>
      <c r="R5" s="2">
        <f t="shared" si="0"/>
        <v>2027</v>
      </c>
      <c r="S5" s="2"/>
    </row>
    <row r="6" spans="1:19" ht="15" customHeight="1" x14ac:dyDescent="0.25">
      <c r="C6" s="65" t="s">
        <v>17</v>
      </c>
      <c r="D6" s="65"/>
      <c r="E6" t="s">
        <v>68</v>
      </c>
      <c r="F6" s="2" t="s">
        <v>19</v>
      </c>
      <c r="G6" s="37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29"/>
    </row>
    <row r="7" spans="1:19" ht="15" customHeight="1" x14ac:dyDescent="0.25">
      <c r="E7" s="2" t="s">
        <v>24</v>
      </c>
      <c r="F7" s="2" t="s">
        <v>25</v>
      </c>
      <c r="G7" s="37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29"/>
    </row>
    <row r="8" spans="1:19" x14ac:dyDescent="0.25">
      <c r="D8" t="s">
        <v>23</v>
      </c>
      <c r="E8" s="2"/>
      <c r="F8" s="2"/>
      <c r="G8" s="2"/>
      <c r="H8" s="2"/>
      <c r="I8" s="2"/>
      <c r="J8" s="2"/>
      <c r="K8" s="2"/>
      <c r="L8" s="2"/>
      <c r="M8" s="2"/>
    </row>
    <row r="9" spans="1:19" x14ac:dyDescent="0.25">
      <c r="A9" s="65" t="s">
        <v>58</v>
      </c>
      <c r="B9" s="65"/>
      <c r="C9" s="10"/>
      <c r="D9" s="10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B10" s="17" t="s">
        <v>37</v>
      </c>
      <c r="C10" s="22">
        <v>1700</v>
      </c>
      <c r="D10" t="s">
        <v>29</v>
      </c>
      <c r="E10" s="13">
        <f>C10*'Data input'!D9</f>
        <v>12750</v>
      </c>
      <c r="F10" s="13">
        <v>30</v>
      </c>
      <c r="G10" s="11">
        <v>17</v>
      </c>
      <c r="H10" s="34">
        <f>$E$10*$G$10/$F$10</f>
        <v>7225</v>
      </c>
      <c r="I10" s="12">
        <f>$E$10*($G$10+I4)/$F$10</f>
        <v>7650</v>
      </c>
      <c r="J10" s="12">
        <f>$E$10*($G$10+J4)/$F$10</f>
        <v>8075</v>
      </c>
      <c r="K10" s="12">
        <f t="shared" ref="K10:R10" si="2">$E$10*($G$10+K4)/$F$10</f>
        <v>8500</v>
      </c>
      <c r="L10" s="12">
        <f t="shared" si="2"/>
        <v>8925</v>
      </c>
      <c r="M10" s="12">
        <f t="shared" si="2"/>
        <v>9350</v>
      </c>
      <c r="N10" s="12">
        <f t="shared" si="2"/>
        <v>9775</v>
      </c>
      <c r="O10" s="12">
        <f t="shared" si="2"/>
        <v>10200</v>
      </c>
      <c r="P10" s="12">
        <f t="shared" si="2"/>
        <v>10625</v>
      </c>
      <c r="Q10" s="12">
        <f t="shared" si="2"/>
        <v>11050</v>
      </c>
      <c r="R10" s="12">
        <f t="shared" si="2"/>
        <v>11475</v>
      </c>
      <c r="S10" s="12"/>
    </row>
    <row r="11" spans="1:19" x14ac:dyDescent="0.25">
      <c r="B11" s="17" t="s">
        <v>32</v>
      </c>
      <c r="C11" s="22">
        <v>3000</v>
      </c>
      <c r="D11" t="s">
        <v>29</v>
      </c>
      <c r="E11" s="13">
        <f>C11*'Data input'!D10</f>
        <v>6000</v>
      </c>
      <c r="F11" s="13">
        <v>25</v>
      </c>
      <c r="G11" s="11">
        <f>15+$G$5-2015</f>
        <v>17</v>
      </c>
      <c r="H11" s="34">
        <f>$E$11*$G$11/$F$11</f>
        <v>4080</v>
      </c>
      <c r="I11" s="12">
        <f>$E$11*($G$11+I4)/$F$11</f>
        <v>4320</v>
      </c>
      <c r="J11" s="12">
        <f t="shared" ref="J11:R11" si="3">$E$11*($G$11+J4)/$F$11</f>
        <v>4560</v>
      </c>
      <c r="K11" s="12">
        <f t="shared" si="3"/>
        <v>4800</v>
      </c>
      <c r="L11" s="12">
        <f t="shared" si="3"/>
        <v>5040</v>
      </c>
      <c r="M11" s="12">
        <f t="shared" si="3"/>
        <v>5280</v>
      </c>
      <c r="N11" s="12">
        <f t="shared" si="3"/>
        <v>5520</v>
      </c>
      <c r="O11" s="12">
        <f t="shared" si="3"/>
        <v>5760</v>
      </c>
      <c r="P11" s="12">
        <f t="shared" si="3"/>
        <v>6000</v>
      </c>
      <c r="Q11" s="12">
        <f t="shared" si="3"/>
        <v>6240</v>
      </c>
      <c r="R11" s="12">
        <f t="shared" si="3"/>
        <v>6480</v>
      </c>
    </row>
    <row r="12" spans="1:19" x14ac:dyDescent="0.25">
      <c r="B12" s="17" t="s">
        <v>107</v>
      </c>
      <c r="C12" s="22">
        <v>3400</v>
      </c>
      <c r="D12" t="s">
        <v>29</v>
      </c>
      <c r="E12" s="13">
        <f>C12*'Data input'!D8</f>
        <v>6800</v>
      </c>
      <c r="F12" s="13">
        <v>8</v>
      </c>
      <c r="G12" s="11">
        <v>1</v>
      </c>
      <c r="H12" s="34">
        <f>$E$12*$G$12/$F$12</f>
        <v>850</v>
      </c>
      <c r="I12" s="12">
        <f>$E$12*(1+I4)/$F$12</f>
        <v>1700</v>
      </c>
      <c r="J12" s="12">
        <f t="shared" ref="J12:R12" si="4">$E$12*(1+J4)/$F$12</f>
        <v>2550</v>
      </c>
      <c r="K12" s="12">
        <f t="shared" si="4"/>
        <v>3400</v>
      </c>
      <c r="L12" s="12">
        <f t="shared" si="4"/>
        <v>4250</v>
      </c>
      <c r="M12" s="12">
        <f t="shared" si="4"/>
        <v>5100</v>
      </c>
      <c r="N12" s="12">
        <f t="shared" si="4"/>
        <v>5950</v>
      </c>
      <c r="O12" s="12">
        <f t="shared" si="4"/>
        <v>6800</v>
      </c>
      <c r="P12" s="12">
        <f t="shared" si="4"/>
        <v>7650</v>
      </c>
      <c r="Q12" s="12">
        <f t="shared" si="4"/>
        <v>8500</v>
      </c>
      <c r="R12" s="12">
        <f t="shared" si="4"/>
        <v>9350</v>
      </c>
    </row>
    <row r="13" spans="1:19" x14ac:dyDescent="0.25">
      <c r="B13" s="17" t="s">
        <v>5</v>
      </c>
      <c r="C13" s="22">
        <v>310</v>
      </c>
      <c r="D13" t="s">
        <v>59</v>
      </c>
      <c r="E13" s="13">
        <f>C13*'Data input'!D11</f>
        <v>1550</v>
      </c>
      <c r="F13" s="13">
        <v>25</v>
      </c>
      <c r="G13" s="11">
        <f>15+$G$5-2015</f>
        <v>17</v>
      </c>
      <c r="H13" s="34">
        <f>$E$13*$G$13/$F$13</f>
        <v>1054</v>
      </c>
      <c r="I13" s="12">
        <f>$E$13*($G$13+I4)/$F$13</f>
        <v>1116</v>
      </c>
      <c r="J13" s="12">
        <f t="shared" ref="J13:R13" si="5">$E$13*($G$13+J4)/$F$13</f>
        <v>1178</v>
      </c>
      <c r="K13" s="12">
        <f t="shared" si="5"/>
        <v>1240</v>
      </c>
      <c r="L13" s="12">
        <f t="shared" si="5"/>
        <v>1302</v>
      </c>
      <c r="M13" s="12">
        <f t="shared" si="5"/>
        <v>1364</v>
      </c>
      <c r="N13" s="12">
        <f t="shared" si="5"/>
        <v>1426</v>
      </c>
      <c r="O13" s="12">
        <f t="shared" si="5"/>
        <v>1488</v>
      </c>
      <c r="P13" s="12">
        <f t="shared" si="5"/>
        <v>1550</v>
      </c>
      <c r="Q13" s="12">
        <f t="shared" si="5"/>
        <v>1612</v>
      </c>
      <c r="R13" s="12">
        <f t="shared" si="5"/>
        <v>1674</v>
      </c>
    </row>
    <row r="14" spans="1:19" x14ac:dyDescent="0.25">
      <c r="B14" s="17" t="s">
        <v>35</v>
      </c>
      <c r="E14" s="13">
        <v>2000</v>
      </c>
      <c r="F14" s="13">
        <v>40</v>
      </c>
      <c r="G14" s="11">
        <v>5</v>
      </c>
      <c r="H14" s="34">
        <f>$E$14*$G$14/$F$14</f>
        <v>250</v>
      </c>
      <c r="I14" s="12">
        <f>$E$14*($G$14+I4)/$F$14</f>
        <v>300</v>
      </c>
      <c r="J14" s="12">
        <f t="shared" ref="J14:R14" si="6">$E$14*($G$14+J4)/$F$14</f>
        <v>350</v>
      </c>
      <c r="K14" s="12">
        <f t="shared" si="6"/>
        <v>400</v>
      </c>
      <c r="L14" s="12">
        <f t="shared" si="6"/>
        <v>450</v>
      </c>
      <c r="M14" s="12">
        <f t="shared" si="6"/>
        <v>500</v>
      </c>
      <c r="N14" s="12">
        <f t="shared" si="6"/>
        <v>550</v>
      </c>
      <c r="O14" s="12">
        <f t="shared" si="6"/>
        <v>600</v>
      </c>
      <c r="P14" s="12">
        <f t="shared" si="6"/>
        <v>650</v>
      </c>
      <c r="Q14" s="12">
        <f t="shared" si="6"/>
        <v>700</v>
      </c>
      <c r="R14" s="12">
        <f t="shared" si="6"/>
        <v>750</v>
      </c>
    </row>
    <row r="15" spans="1:19" x14ac:dyDescent="0.25">
      <c r="B15" s="45"/>
      <c r="E15" s="13"/>
      <c r="F15" s="13"/>
      <c r="G15" s="11"/>
      <c r="H15" s="34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x14ac:dyDescent="0.25">
      <c r="A16" s="64" t="s">
        <v>72</v>
      </c>
      <c r="B16" s="64"/>
      <c r="C16" s="18">
        <v>10362</v>
      </c>
      <c r="D16" t="s">
        <v>29</v>
      </c>
      <c r="E16" s="13">
        <v>13574</v>
      </c>
      <c r="F16" s="13">
        <v>20</v>
      </c>
      <c r="G16" s="11">
        <v>1</v>
      </c>
      <c r="H16" s="34">
        <f>$E$16*$G$16/$F$16</f>
        <v>678.7</v>
      </c>
      <c r="I16" s="12">
        <f>$E$16*(I4+$G$16)/$F$16</f>
        <v>1357.4</v>
      </c>
      <c r="J16" s="12">
        <f t="shared" ref="J16:R16" si="7">$E$16*(J4+$G$16)/$F$16</f>
        <v>2036.1</v>
      </c>
      <c r="K16" s="12">
        <f t="shared" si="7"/>
        <v>2714.8</v>
      </c>
      <c r="L16" s="12">
        <f t="shared" si="7"/>
        <v>3393.5</v>
      </c>
      <c r="M16" s="12">
        <f t="shared" si="7"/>
        <v>4072.2</v>
      </c>
      <c r="N16" s="12">
        <f t="shared" si="7"/>
        <v>4750.8999999999996</v>
      </c>
      <c r="O16" s="12">
        <f t="shared" si="7"/>
        <v>5429.6</v>
      </c>
      <c r="P16" s="12">
        <f t="shared" si="7"/>
        <v>6108.3</v>
      </c>
      <c r="Q16" s="12">
        <f t="shared" si="7"/>
        <v>6787</v>
      </c>
      <c r="R16" s="12">
        <f t="shared" si="7"/>
        <v>7465.7</v>
      </c>
      <c r="S16" s="12"/>
    </row>
    <row r="17" spans="1:19" x14ac:dyDescent="0.25">
      <c r="A17" s="64" t="s">
        <v>60</v>
      </c>
      <c r="B17" s="64"/>
      <c r="C17" s="18">
        <v>1062</v>
      </c>
      <c r="D17" t="s">
        <v>59</v>
      </c>
      <c r="E17" s="13">
        <f>C17*'Data input'!D12</f>
        <v>14868</v>
      </c>
      <c r="F17" s="13">
        <v>30</v>
      </c>
      <c r="G17" s="11">
        <f>5+$G$5-2015</f>
        <v>7</v>
      </c>
      <c r="H17" s="34">
        <f>$E$17*$G$17/$F$17</f>
        <v>3469.2</v>
      </c>
      <c r="I17" s="12">
        <f t="shared" ref="I17:R17" si="8">$E$17*($G$17+I4)/$F$17</f>
        <v>3964.8</v>
      </c>
      <c r="J17" s="12">
        <f t="shared" si="8"/>
        <v>4460.3999999999996</v>
      </c>
      <c r="K17" s="12">
        <f t="shared" si="8"/>
        <v>4956</v>
      </c>
      <c r="L17" s="12">
        <f t="shared" si="8"/>
        <v>5451.6</v>
      </c>
      <c r="M17" s="12">
        <f t="shared" si="8"/>
        <v>5947.2</v>
      </c>
      <c r="N17" s="12">
        <f t="shared" si="8"/>
        <v>6442.8</v>
      </c>
      <c r="O17" s="12">
        <f t="shared" si="8"/>
        <v>6938.4</v>
      </c>
      <c r="P17" s="12">
        <f t="shared" si="8"/>
        <v>7434</v>
      </c>
      <c r="Q17" s="12">
        <f t="shared" si="8"/>
        <v>7929.6</v>
      </c>
      <c r="R17" s="12">
        <f t="shared" si="8"/>
        <v>8425.2000000000007</v>
      </c>
      <c r="S17" s="12"/>
    </row>
    <row r="18" spans="1:19" x14ac:dyDescent="0.25">
      <c r="A18" s="64" t="s">
        <v>61</v>
      </c>
      <c r="B18" s="64"/>
      <c r="C18" s="18">
        <v>13</v>
      </c>
      <c r="D18" t="s">
        <v>71</v>
      </c>
      <c r="E18" s="13">
        <f>C18*'Data input'!D19</f>
        <v>1560</v>
      </c>
      <c r="F18" s="13">
        <v>15</v>
      </c>
      <c r="G18" s="11">
        <f>4+$G$5-2015</f>
        <v>6</v>
      </c>
      <c r="H18" s="34">
        <f>$E$18*$G$18/$F$18</f>
        <v>624</v>
      </c>
      <c r="I18" s="12">
        <f t="shared" ref="I18:R18" si="9">$E$18*($G$18+I4)/$F$18</f>
        <v>728</v>
      </c>
      <c r="J18" s="12">
        <f t="shared" si="9"/>
        <v>832</v>
      </c>
      <c r="K18" s="12">
        <f t="shared" si="9"/>
        <v>936</v>
      </c>
      <c r="L18" s="12">
        <f t="shared" si="9"/>
        <v>1040</v>
      </c>
      <c r="M18" s="12">
        <f t="shared" si="9"/>
        <v>1144</v>
      </c>
      <c r="N18" s="12">
        <f t="shared" si="9"/>
        <v>1248</v>
      </c>
      <c r="O18" s="12">
        <f t="shared" si="9"/>
        <v>1352</v>
      </c>
      <c r="P18" s="12">
        <f t="shared" si="9"/>
        <v>1456</v>
      </c>
      <c r="Q18" s="12">
        <f t="shared" si="9"/>
        <v>1560</v>
      </c>
      <c r="R18" s="12">
        <f t="shared" si="9"/>
        <v>1664</v>
      </c>
      <c r="S18" s="12"/>
    </row>
    <row r="19" spans="1:19" x14ac:dyDescent="0.25">
      <c r="E19" s="11"/>
      <c r="F19" s="11"/>
      <c r="G19" s="11"/>
      <c r="H19" s="3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4" t="s">
        <v>41</v>
      </c>
      <c r="B20" s="4"/>
      <c r="C20" s="4"/>
      <c r="D20" s="4"/>
      <c r="E20" s="10"/>
      <c r="H20" s="34">
        <f t="shared" ref="H20:R20" si="10">SUM(H9:H18)</f>
        <v>18230.900000000001</v>
      </c>
      <c r="I20" s="12">
        <f t="shared" si="10"/>
        <v>21136.2</v>
      </c>
      <c r="J20" s="12">
        <f t="shared" si="10"/>
        <v>24041.5</v>
      </c>
      <c r="K20" s="12">
        <f t="shared" si="10"/>
        <v>26946.799999999999</v>
      </c>
      <c r="L20" s="12">
        <f t="shared" si="10"/>
        <v>29852.1</v>
      </c>
      <c r="M20" s="12">
        <f t="shared" si="10"/>
        <v>32757.4</v>
      </c>
      <c r="N20" s="12">
        <f t="shared" si="10"/>
        <v>35662.700000000004</v>
      </c>
      <c r="O20" s="12">
        <f t="shared" si="10"/>
        <v>38568</v>
      </c>
      <c r="P20" s="12">
        <f t="shared" si="10"/>
        <v>41473.300000000003</v>
      </c>
      <c r="Q20" s="12">
        <f t="shared" si="10"/>
        <v>44378.6</v>
      </c>
      <c r="R20" s="12">
        <f t="shared" si="10"/>
        <v>47283.899999999994</v>
      </c>
      <c r="S20" s="12"/>
    </row>
    <row r="21" spans="1:19" x14ac:dyDescent="0.25">
      <c r="A21" t="s">
        <v>62</v>
      </c>
      <c r="H21" s="34">
        <f>SUM(H9:H18)</f>
        <v>18230.900000000001</v>
      </c>
      <c r="I21" s="12">
        <f>I20*(1+'Data input'!$D$23/100)^I4</f>
        <v>21347.562000000002</v>
      </c>
      <c r="J21" s="12">
        <f>J20*(1+'Data input'!$D$23/100)^J4</f>
        <v>24524.73415</v>
      </c>
      <c r="K21" s="12">
        <f>K20*(1+'Data input'!$D$23/100)^K4</f>
        <v>27763.314986799996</v>
      </c>
      <c r="L21" s="12">
        <f>L20*(1+'Data input'!$D$23/100)^L4</f>
        <v>31064.214966920998</v>
      </c>
      <c r="M21" s="12">
        <f>M20*(1+'Data input'!$D$23/100)^M4</f>
        <v>34428.356615145742</v>
      </c>
      <c r="N21" s="12">
        <f>N20*(1+'Data input'!$D$23/100)^N4</f>
        <v>37856.674674838294</v>
      </c>
      <c r="O21" s="12">
        <f>O20*(1+'Data input'!$D$23/100)^O4</f>
        <v>41350.116260063158</v>
      </c>
      <c r="P21" s="12">
        <f>P20*(1+'Data input'!$D$23/100)^P4</f>
        <v>44909.641009525061</v>
      </c>
      <c r="Q21" s="12">
        <f>Q20*(1+'Data input'!$D$23/100)^Q4</f>
        <v>48536.221242350184</v>
      </c>
      <c r="R21" s="12">
        <f>R20*(1+'Data input'!$D$23/100)^R4</f>
        <v>52230.842115730855</v>
      </c>
      <c r="S21" s="12"/>
    </row>
    <row r="22" spans="1:19" x14ac:dyDescent="0.25">
      <c r="A22" s="10"/>
      <c r="B22" s="10"/>
      <c r="C22" s="10"/>
      <c r="D22" s="10"/>
      <c r="E22" s="10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4" t="s">
        <v>112</v>
      </c>
      <c r="B23" s="4"/>
      <c r="C23" s="4"/>
      <c r="D23" s="4"/>
      <c r="E23" s="10"/>
      <c r="H23" s="34">
        <f>'Data input'!I31</f>
        <v>8653</v>
      </c>
      <c r="I23" s="12">
        <f>H23 +$P$29 -'Data input'!H20</f>
        <v>12053</v>
      </c>
      <c r="J23" s="12">
        <f>I23 +$P$29</f>
        <v>15953</v>
      </c>
      <c r="K23" s="12">
        <f t="shared" ref="K23:R23" si="11">J23 +$P$29</f>
        <v>19853</v>
      </c>
      <c r="L23" s="12">
        <f t="shared" si="11"/>
        <v>23753</v>
      </c>
      <c r="M23" s="12">
        <f t="shared" si="11"/>
        <v>27653</v>
      </c>
      <c r="N23" s="12">
        <f t="shared" si="11"/>
        <v>31553</v>
      </c>
      <c r="O23" s="12">
        <f t="shared" si="11"/>
        <v>35453</v>
      </c>
      <c r="P23" s="12">
        <f t="shared" si="11"/>
        <v>39353</v>
      </c>
      <c r="Q23" s="12">
        <f t="shared" si="11"/>
        <v>43253</v>
      </c>
      <c r="R23" s="12">
        <f t="shared" si="11"/>
        <v>47153</v>
      </c>
      <c r="S23" s="12"/>
    </row>
    <row r="24" spans="1:19" x14ac:dyDescent="0.25">
      <c r="A24" s="4" t="s">
        <v>43</v>
      </c>
      <c r="B24" s="4"/>
      <c r="C24" s="4"/>
      <c r="D24" s="4"/>
      <c r="E24" s="10"/>
      <c r="H24" s="34">
        <f t="shared" ref="H24:R24" si="12">H21-H23</f>
        <v>9577.9000000000015</v>
      </c>
      <c r="I24" s="12">
        <f t="shared" si="12"/>
        <v>9294.5620000000017</v>
      </c>
      <c r="J24" s="12">
        <f t="shared" si="12"/>
        <v>8571.7341500000002</v>
      </c>
      <c r="K24" s="12">
        <f t="shared" si="12"/>
        <v>7910.3149867999964</v>
      </c>
      <c r="L24" s="12">
        <f t="shared" si="12"/>
        <v>7311.2149669209975</v>
      </c>
      <c r="M24" s="12">
        <f t="shared" si="12"/>
        <v>6775.3566151457417</v>
      </c>
      <c r="N24" s="12">
        <f t="shared" si="12"/>
        <v>6303.6746748382939</v>
      </c>
      <c r="O24" s="12">
        <f t="shared" si="12"/>
        <v>5897.1162600631578</v>
      </c>
      <c r="P24" s="12">
        <f t="shared" si="12"/>
        <v>5556.6410095250612</v>
      </c>
      <c r="Q24" s="12">
        <f t="shared" si="12"/>
        <v>5283.2212423501842</v>
      </c>
      <c r="R24" s="12">
        <f t="shared" si="12"/>
        <v>5077.8421157308549</v>
      </c>
      <c r="S24" s="12"/>
    </row>
    <row r="25" spans="1:19" x14ac:dyDescent="0.25">
      <c r="A25" s="4" t="s">
        <v>44</v>
      </c>
      <c r="B25" s="4"/>
      <c r="C25" s="4"/>
      <c r="D25" s="4"/>
      <c r="E25" s="10"/>
      <c r="H25" s="34">
        <f>H24/'Data input'!$L$10</f>
        <v>957.79000000000019</v>
      </c>
      <c r="I25" s="12">
        <f>I24/'Data input'!$L$10</f>
        <v>929.45620000000019</v>
      </c>
      <c r="J25" s="12">
        <f>J24/'Data input'!$L$10</f>
        <v>857.17341499999998</v>
      </c>
      <c r="K25" s="12">
        <f>K24/'Data input'!$L$10</f>
        <v>791.03149867999969</v>
      </c>
      <c r="L25" s="12">
        <f>L24/'Data input'!$L$10</f>
        <v>731.12149669209975</v>
      </c>
      <c r="M25" s="12">
        <f>M24/'Data input'!$L$10</f>
        <v>677.53566151457414</v>
      </c>
      <c r="N25" s="12">
        <f>N24/'Data input'!$L$10</f>
        <v>630.36746748382939</v>
      </c>
      <c r="O25" s="12">
        <f>O24/'Data input'!$L$10</f>
        <v>589.71162600631578</v>
      </c>
      <c r="P25" s="12">
        <f>P24/'Data input'!$L$10</f>
        <v>555.66410095250615</v>
      </c>
      <c r="Q25" s="12">
        <f>Q24/'Data input'!$L$10</f>
        <v>528.32212423501846</v>
      </c>
      <c r="R25" s="12">
        <f>R24/'Data input'!$L$10</f>
        <v>507.78421157308549</v>
      </c>
      <c r="S25" s="12"/>
    </row>
    <row r="26" spans="1:19" x14ac:dyDescent="0.25">
      <c r="A26" s="10" t="s">
        <v>45</v>
      </c>
      <c r="B26" s="10"/>
      <c r="C26" s="10"/>
      <c r="D26" s="10"/>
      <c r="E26" s="10"/>
      <c r="H26" s="34">
        <f t="shared" ref="H26:R26" si="13">100*H23/H21</f>
        <v>47.463372625597195</v>
      </c>
      <c r="I26" s="12">
        <f t="shared" si="13"/>
        <v>56.460779924189936</v>
      </c>
      <c r="J26" s="12">
        <f t="shared" si="13"/>
        <v>65.048615419955524</v>
      </c>
      <c r="K26" s="12">
        <f t="shared" si="13"/>
        <v>71.508031405612272</v>
      </c>
      <c r="L26" s="12">
        <f t="shared" si="13"/>
        <v>76.464188859411351</v>
      </c>
      <c r="M26" s="12">
        <f t="shared" si="13"/>
        <v>80.320418163191903</v>
      </c>
      <c r="N26" s="12">
        <f t="shared" si="13"/>
        <v>83.348577948321292</v>
      </c>
      <c r="O26" s="12">
        <f t="shared" si="13"/>
        <v>85.738573930543652</v>
      </c>
      <c r="P26" s="12">
        <f t="shared" si="13"/>
        <v>87.627064290390265</v>
      </c>
      <c r="Q26" s="12">
        <f t="shared" si="13"/>
        <v>89.11488964917541</v>
      </c>
      <c r="R26" s="12">
        <f t="shared" si="13"/>
        <v>90.278077262320238</v>
      </c>
      <c r="S26" s="12"/>
    </row>
    <row r="28" spans="1:19" ht="15.75" thickBot="1" x14ac:dyDescent="0.3">
      <c r="D28" s="64" t="s">
        <v>84</v>
      </c>
      <c r="E28" s="64"/>
      <c r="F28" s="64"/>
      <c r="G28" s="64"/>
      <c r="H28" s="18">
        <f>4*'Data input'!K10*'Data input'!L10</f>
        <v>5400</v>
      </c>
    </row>
    <row r="29" spans="1:19" x14ac:dyDescent="0.25">
      <c r="A29" s="64" t="s">
        <v>64</v>
      </c>
      <c r="B29" s="64"/>
      <c r="C29" s="64"/>
      <c r="D29" s="64"/>
      <c r="E29" s="64"/>
      <c r="F29" s="64"/>
      <c r="G29" s="64"/>
      <c r="H29" s="23">
        <v>1500</v>
      </c>
      <c r="I29" s="4"/>
      <c r="J29" s="4"/>
      <c r="K29" s="11"/>
      <c r="L29" s="86" t="s">
        <v>47</v>
      </c>
      <c r="M29" s="90"/>
      <c r="N29" s="90"/>
      <c r="O29" s="90"/>
      <c r="P29" s="84">
        <f>H28-H29</f>
        <v>3900</v>
      </c>
    </row>
    <row r="30" spans="1:19" ht="15.75" thickBot="1" x14ac:dyDescent="0.3">
      <c r="L30" s="91"/>
      <c r="M30" s="92"/>
      <c r="N30" s="92"/>
      <c r="O30" s="92"/>
      <c r="P30" s="85"/>
    </row>
    <row r="31" spans="1:19" x14ac:dyDescent="0.25">
      <c r="B31" s="4"/>
      <c r="C31" s="4"/>
      <c r="D31" s="4"/>
      <c r="E31" s="4"/>
      <c r="F31" s="4"/>
      <c r="G31" s="4"/>
      <c r="H31" s="4"/>
    </row>
    <row r="33" spans="1:12" x14ac:dyDescent="0.25">
      <c r="A33" s="4"/>
      <c r="B33" s="20"/>
      <c r="C33" s="20"/>
      <c r="D33" s="20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E35" s="3"/>
    </row>
    <row r="36" spans="1:12" x14ac:dyDescent="0.25">
      <c r="E36" s="11"/>
    </row>
    <row r="37" spans="1:12" x14ac:dyDescent="0.25">
      <c r="E37" s="11"/>
      <c r="H37" s="11"/>
    </row>
    <row r="38" spans="1:12" x14ac:dyDescent="0.25">
      <c r="G38" s="11"/>
    </row>
  </sheetData>
  <mergeCells count="14">
    <mergeCell ref="F1:I2"/>
    <mergeCell ref="J1:K2"/>
    <mergeCell ref="L1:L2"/>
    <mergeCell ref="H6:R7"/>
    <mergeCell ref="G5:H5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4" workbookViewId="0">
      <selection activeCell="F22" sqref="F22"/>
    </sheetView>
  </sheetViews>
  <sheetFormatPr defaultRowHeight="15" x14ac:dyDescent="0.25"/>
  <sheetData>
    <row r="1" spans="1:18" ht="15" customHeight="1" x14ac:dyDescent="0.25">
      <c r="F1" s="78" t="s">
        <v>106</v>
      </c>
      <c r="G1" s="78"/>
      <c r="H1" s="78"/>
      <c r="I1" s="78"/>
      <c r="J1" s="78"/>
      <c r="K1" s="78"/>
      <c r="L1" s="78" t="str">
        <f>'Data input'!H4</f>
        <v>July</v>
      </c>
      <c r="M1" s="78"/>
      <c r="N1" s="78">
        <f>'Data input'!D4</f>
        <v>2017</v>
      </c>
    </row>
    <row r="2" spans="1:18" x14ac:dyDescent="0.25">
      <c r="F2" s="78"/>
      <c r="G2" s="78"/>
      <c r="H2" s="78"/>
      <c r="I2" s="78"/>
      <c r="J2" s="78"/>
      <c r="K2" s="78"/>
      <c r="L2" s="78"/>
      <c r="M2" s="78"/>
      <c r="N2" s="78"/>
    </row>
    <row r="4" spans="1:18" x14ac:dyDescent="0.25">
      <c r="G4" s="81" t="s">
        <v>1</v>
      </c>
      <c r="H4" s="81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</row>
    <row r="5" spans="1:18" x14ac:dyDescent="0.25">
      <c r="E5" s="18" t="s">
        <v>16</v>
      </c>
      <c r="G5" s="81">
        <f>'Data input'!D4</f>
        <v>2017</v>
      </c>
      <c r="H5" s="81"/>
      <c r="I5" s="18">
        <f>G5+1</f>
        <v>2018</v>
      </c>
      <c r="J5" s="18">
        <f>I5+1</f>
        <v>2019</v>
      </c>
      <c r="K5" s="18">
        <f t="shared" ref="K5:M5" si="1">J5+1</f>
        <v>2020</v>
      </c>
      <c r="L5" s="18">
        <f t="shared" si="1"/>
        <v>2021</v>
      </c>
      <c r="M5" s="18">
        <f t="shared" si="1"/>
        <v>2022</v>
      </c>
      <c r="N5" s="18">
        <f t="shared" si="0"/>
        <v>2023</v>
      </c>
      <c r="O5" s="18">
        <f t="shared" si="0"/>
        <v>2024</v>
      </c>
      <c r="P5" s="18">
        <f t="shared" si="0"/>
        <v>2025</v>
      </c>
      <c r="Q5" s="18">
        <f t="shared" si="0"/>
        <v>2026</v>
      </c>
      <c r="R5" s="18">
        <f t="shared" si="0"/>
        <v>2027</v>
      </c>
    </row>
    <row r="6" spans="1:18" ht="15" customHeight="1" x14ac:dyDescent="0.25">
      <c r="C6" s="65" t="s">
        <v>17</v>
      </c>
      <c r="D6" s="65"/>
      <c r="E6" t="s">
        <v>18</v>
      </c>
      <c r="F6" s="18" t="s">
        <v>19</v>
      </c>
      <c r="G6" s="37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" customHeight="1" x14ac:dyDescent="0.25">
      <c r="D7" t="s">
        <v>23</v>
      </c>
      <c r="E7" s="18" t="s">
        <v>24</v>
      </c>
      <c r="F7" s="18" t="s">
        <v>25</v>
      </c>
      <c r="G7" s="37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5">
      <c r="A8" s="65" t="s">
        <v>58</v>
      </c>
      <c r="B8" s="65"/>
      <c r="C8" s="19"/>
      <c r="D8" s="19"/>
      <c r="E8" s="11"/>
      <c r="F8" s="11"/>
      <c r="G8" s="3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64" t="s">
        <v>37</v>
      </c>
      <c r="B9" s="64"/>
      <c r="C9" s="22">
        <v>1340</v>
      </c>
      <c r="D9" t="s">
        <v>29</v>
      </c>
      <c r="E9" s="4">
        <f>C9*'Data input'!D9</f>
        <v>10050</v>
      </c>
      <c r="F9" s="13">
        <v>30</v>
      </c>
      <c r="G9" s="11">
        <v>17</v>
      </c>
      <c r="H9" s="34">
        <f>$E$9*$G$9/$F$9</f>
        <v>5695</v>
      </c>
      <c r="I9" s="12">
        <f t="shared" ref="I9:R9" si="2">$E$9*($G$9+I4)/$F$9</f>
        <v>6030</v>
      </c>
      <c r="J9" s="12">
        <f t="shared" si="2"/>
        <v>6365</v>
      </c>
      <c r="K9" s="12">
        <f t="shared" si="2"/>
        <v>6700</v>
      </c>
      <c r="L9" s="12">
        <f t="shared" si="2"/>
        <v>7035</v>
      </c>
      <c r="M9" s="12">
        <f t="shared" si="2"/>
        <v>7370</v>
      </c>
      <c r="N9" s="12">
        <f t="shared" si="2"/>
        <v>7705</v>
      </c>
      <c r="O9" s="12">
        <f t="shared" si="2"/>
        <v>8040</v>
      </c>
      <c r="P9" s="12">
        <f t="shared" si="2"/>
        <v>8375</v>
      </c>
      <c r="Q9" s="12">
        <f t="shared" si="2"/>
        <v>8710</v>
      </c>
      <c r="R9" s="12">
        <f t="shared" si="2"/>
        <v>9045</v>
      </c>
    </row>
    <row r="10" spans="1:18" x14ac:dyDescent="0.25">
      <c r="B10" s="17" t="s">
        <v>32</v>
      </c>
      <c r="C10" s="22">
        <v>1900</v>
      </c>
      <c r="D10" t="s">
        <v>29</v>
      </c>
      <c r="E10" s="13">
        <f>C10*'Data input'!D10</f>
        <v>3800</v>
      </c>
      <c r="F10" s="13">
        <v>25</v>
      </c>
      <c r="G10" s="11">
        <f>15+$G$5-2015</f>
        <v>17</v>
      </c>
      <c r="H10" s="34">
        <f>$E$10*$G$10/$F$10</f>
        <v>2584</v>
      </c>
      <c r="I10" s="12">
        <f t="shared" ref="I10:R10" si="3">$E$10*($G$10+I4)/$F$10</f>
        <v>2736</v>
      </c>
      <c r="J10" s="12">
        <f t="shared" si="3"/>
        <v>2888</v>
      </c>
      <c r="K10" s="12">
        <f t="shared" si="3"/>
        <v>3040</v>
      </c>
      <c r="L10" s="12">
        <f t="shared" si="3"/>
        <v>3192</v>
      </c>
      <c r="M10" s="12">
        <f t="shared" si="3"/>
        <v>3344</v>
      </c>
      <c r="N10" s="12">
        <f t="shared" si="3"/>
        <v>3496</v>
      </c>
      <c r="O10" s="12">
        <f t="shared" si="3"/>
        <v>3648</v>
      </c>
      <c r="P10" s="12">
        <f t="shared" si="3"/>
        <v>3800</v>
      </c>
      <c r="Q10" s="12">
        <f t="shared" si="3"/>
        <v>3952</v>
      </c>
      <c r="R10" s="12">
        <f t="shared" si="3"/>
        <v>4104</v>
      </c>
    </row>
    <row r="11" spans="1:18" x14ac:dyDescent="0.25">
      <c r="B11" s="17" t="s">
        <v>107</v>
      </c>
      <c r="C11" s="22">
        <v>2680</v>
      </c>
      <c r="D11" t="s">
        <v>29</v>
      </c>
      <c r="E11" s="13">
        <f>C11*'Data input'!D8</f>
        <v>5360</v>
      </c>
      <c r="F11" s="13">
        <v>8</v>
      </c>
      <c r="G11" s="11">
        <v>1</v>
      </c>
      <c r="H11" s="34">
        <f>$E$11*$G$11/$F$11</f>
        <v>670</v>
      </c>
      <c r="I11" s="12">
        <f>$E$11*(I4+1)/$F$11</f>
        <v>1340</v>
      </c>
      <c r="J11" s="12">
        <f t="shared" ref="J11:R11" si="4">$E$11*(J4+1)/$F$11</f>
        <v>2010</v>
      </c>
      <c r="K11" s="12">
        <f t="shared" si="4"/>
        <v>2680</v>
      </c>
      <c r="L11" s="12">
        <f t="shared" si="4"/>
        <v>3350</v>
      </c>
      <c r="M11" s="12">
        <f t="shared" si="4"/>
        <v>4020</v>
      </c>
      <c r="N11" s="12">
        <f t="shared" si="4"/>
        <v>4690</v>
      </c>
      <c r="O11" s="12">
        <f t="shared" si="4"/>
        <v>5360</v>
      </c>
      <c r="P11" s="12">
        <f t="shared" si="4"/>
        <v>6030</v>
      </c>
      <c r="Q11" s="12">
        <f t="shared" si="4"/>
        <v>6700</v>
      </c>
      <c r="R11" s="12">
        <f t="shared" si="4"/>
        <v>7370</v>
      </c>
    </row>
    <row r="12" spans="1:18" x14ac:dyDescent="0.25">
      <c r="B12" s="17" t="s">
        <v>5</v>
      </c>
      <c r="C12" s="22">
        <v>222</v>
      </c>
      <c r="D12" t="s">
        <v>59</v>
      </c>
      <c r="E12" s="13">
        <f>C12*'Data input'!D11</f>
        <v>1110</v>
      </c>
      <c r="F12" s="13">
        <v>25</v>
      </c>
      <c r="G12" s="11">
        <f>15+$G$5-2015</f>
        <v>17</v>
      </c>
      <c r="H12" s="34">
        <f>$E$12*$G$12/$F$12</f>
        <v>754.8</v>
      </c>
      <c r="I12" s="12">
        <f t="shared" ref="I12:R12" si="5">$E$12*($G$12+I4)/$F$12</f>
        <v>799.2</v>
      </c>
      <c r="J12" s="12">
        <f t="shared" si="5"/>
        <v>843.6</v>
      </c>
      <c r="K12" s="12">
        <f t="shared" si="5"/>
        <v>888</v>
      </c>
      <c r="L12" s="12">
        <f t="shared" si="5"/>
        <v>932.4</v>
      </c>
      <c r="M12" s="12">
        <f t="shared" si="5"/>
        <v>976.8</v>
      </c>
      <c r="N12" s="12">
        <f t="shared" si="5"/>
        <v>1021.2</v>
      </c>
      <c r="O12" s="12">
        <f t="shared" si="5"/>
        <v>1065.5999999999999</v>
      </c>
      <c r="P12" s="12">
        <f t="shared" si="5"/>
        <v>1110</v>
      </c>
      <c r="Q12" s="12">
        <f t="shared" si="5"/>
        <v>1154.4000000000001</v>
      </c>
      <c r="R12" s="12">
        <f t="shared" si="5"/>
        <v>1198.8</v>
      </c>
    </row>
    <row r="13" spans="1:18" x14ac:dyDescent="0.25">
      <c r="B13" s="17" t="s">
        <v>35</v>
      </c>
      <c r="C13" s="17"/>
      <c r="D13" s="17"/>
      <c r="E13" s="13">
        <v>2000</v>
      </c>
      <c r="F13" s="13">
        <v>40</v>
      </c>
      <c r="G13" s="11">
        <v>5</v>
      </c>
      <c r="H13" s="34">
        <f>$E$13*$G$13/$F$13</f>
        <v>250</v>
      </c>
      <c r="I13" s="12">
        <f t="shared" ref="I13:R13" si="6">$E$13*($G$13+I4)/$F$13</f>
        <v>300</v>
      </c>
      <c r="J13" s="12">
        <f t="shared" si="6"/>
        <v>350</v>
      </c>
      <c r="K13" s="12">
        <f t="shared" si="6"/>
        <v>400</v>
      </c>
      <c r="L13" s="12">
        <f t="shared" si="6"/>
        <v>450</v>
      </c>
      <c r="M13" s="12">
        <f t="shared" si="6"/>
        <v>500</v>
      </c>
      <c r="N13" s="12">
        <f t="shared" si="6"/>
        <v>550</v>
      </c>
      <c r="O13" s="12">
        <f t="shared" si="6"/>
        <v>600</v>
      </c>
      <c r="P13" s="12">
        <f t="shared" si="6"/>
        <v>650</v>
      </c>
      <c r="Q13" s="12">
        <f t="shared" si="6"/>
        <v>700</v>
      </c>
      <c r="R13" s="12">
        <f t="shared" si="6"/>
        <v>750</v>
      </c>
    </row>
    <row r="14" spans="1:18" x14ac:dyDescent="0.25">
      <c r="B14" s="49"/>
      <c r="C14" s="49"/>
      <c r="D14" s="49"/>
      <c r="E14" s="13"/>
      <c r="F14" s="13"/>
      <c r="G14" s="11"/>
      <c r="H14" s="34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customHeight="1" x14ac:dyDescent="0.25">
      <c r="A15" s="64" t="s">
        <v>72</v>
      </c>
      <c r="B15" s="64"/>
      <c r="C15" s="50">
        <v>4849</v>
      </c>
      <c r="D15" s="51" t="s">
        <v>29</v>
      </c>
      <c r="E15" s="13">
        <v>6352</v>
      </c>
      <c r="F15" s="13">
        <v>20</v>
      </c>
      <c r="G15" s="11">
        <v>1</v>
      </c>
      <c r="H15" s="34">
        <f>E15*G15/F15</f>
        <v>317.60000000000002</v>
      </c>
      <c r="I15" s="12">
        <f>$E$15*(I4+$G$15)/$F$15</f>
        <v>635.20000000000005</v>
      </c>
      <c r="J15" s="12">
        <f t="shared" ref="J15:R15" si="7">$E$15*(J4+$G$15)/$F$15</f>
        <v>952.8</v>
      </c>
      <c r="K15" s="12">
        <f t="shared" si="7"/>
        <v>1270.4000000000001</v>
      </c>
      <c r="L15" s="12">
        <f t="shared" si="7"/>
        <v>1588</v>
      </c>
      <c r="M15" s="12">
        <f t="shared" si="7"/>
        <v>1905.6</v>
      </c>
      <c r="N15" s="12">
        <f t="shared" si="7"/>
        <v>2223.1999999999998</v>
      </c>
      <c r="O15" s="12">
        <f t="shared" si="7"/>
        <v>2540.8000000000002</v>
      </c>
      <c r="P15" s="12">
        <f t="shared" si="7"/>
        <v>2858.4</v>
      </c>
      <c r="Q15" s="12">
        <f t="shared" si="7"/>
        <v>3176</v>
      </c>
      <c r="R15" s="12">
        <f t="shared" si="7"/>
        <v>3493.6</v>
      </c>
    </row>
    <row r="16" spans="1:18" ht="15" customHeight="1" x14ac:dyDescent="0.25">
      <c r="A16" s="64" t="s">
        <v>60</v>
      </c>
      <c r="B16" s="64"/>
      <c r="C16" s="22">
        <v>490</v>
      </c>
      <c r="D16" t="s">
        <v>59</v>
      </c>
      <c r="E16" s="13">
        <f>C16*'Data input'!D12</f>
        <v>6860</v>
      </c>
      <c r="F16" s="13">
        <v>30</v>
      </c>
      <c r="G16" s="11">
        <f>5+$G$5-2015</f>
        <v>7</v>
      </c>
      <c r="H16" s="34">
        <f>$E$16*$G$16/$F$16</f>
        <v>1600.6666666666667</v>
      </c>
      <c r="I16" s="12">
        <f>$E$16*($G$16+I4)/$F$16</f>
        <v>1829.3333333333333</v>
      </c>
      <c r="J16" s="12">
        <f>$E$16*($G$16+J4)/$F$16</f>
        <v>2058</v>
      </c>
      <c r="K16" s="12">
        <f t="shared" ref="K16:R16" si="8">$E$16*($G$16+K4)/$F$16</f>
        <v>2286.6666666666665</v>
      </c>
      <c r="L16" s="12">
        <f t="shared" si="8"/>
        <v>2515.3333333333335</v>
      </c>
      <c r="M16" s="12">
        <f t="shared" si="8"/>
        <v>2744</v>
      </c>
      <c r="N16" s="12">
        <f t="shared" si="8"/>
        <v>2972.6666666666665</v>
      </c>
      <c r="O16" s="12">
        <f t="shared" si="8"/>
        <v>3201.3333333333335</v>
      </c>
      <c r="P16" s="12">
        <f t="shared" si="8"/>
        <v>3430</v>
      </c>
      <c r="Q16" s="12">
        <f t="shared" si="8"/>
        <v>3658.6666666666665</v>
      </c>
      <c r="R16" s="12">
        <f t="shared" si="8"/>
        <v>3887.3333333333335</v>
      </c>
    </row>
    <row r="17" spans="1:18" x14ac:dyDescent="0.25">
      <c r="A17" s="64" t="s">
        <v>61</v>
      </c>
      <c r="B17" s="64"/>
      <c r="C17" s="22">
        <v>8</v>
      </c>
      <c r="D17" t="s">
        <v>71</v>
      </c>
      <c r="E17" s="13">
        <f>C17*'Data input'!D19</f>
        <v>960</v>
      </c>
      <c r="F17" s="13">
        <v>15</v>
      </c>
      <c r="G17" s="11">
        <f>4+$G$5-2015</f>
        <v>6</v>
      </c>
      <c r="H17" s="34">
        <f>$E$17*$G$17/$F$17</f>
        <v>384</v>
      </c>
      <c r="I17" s="12">
        <f>$E$17*($G$17+I4)/$F$17</f>
        <v>448</v>
      </c>
      <c r="J17" s="12">
        <f t="shared" ref="J17:R17" si="9">$E$17*($G$17+J4)/$F$17</f>
        <v>512</v>
      </c>
      <c r="K17" s="12">
        <f t="shared" si="9"/>
        <v>576</v>
      </c>
      <c r="L17" s="12">
        <f t="shared" si="9"/>
        <v>640</v>
      </c>
      <c r="M17" s="12">
        <f t="shared" si="9"/>
        <v>704</v>
      </c>
      <c r="N17" s="12">
        <f t="shared" si="9"/>
        <v>768</v>
      </c>
      <c r="O17" s="12">
        <f t="shared" si="9"/>
        <v>832</v>
      </c>
      <c r="P17" s="12">
        <f t="shared" si="9"/>
        <v>896</v>
      </c>
      <c r="Q17" s="12">
        <f t="shared" si="9"/>
        <v>960</v>
      </c>
      <c r="R17" s="12">
        <f t="shared" si="9"/>
        <v>1024</v>
      </c>
    </row>
    <row r="18" spans="1:18" x14ac:dyDescent="0.25">
      <c r="H18" s="34"/>
      <c r="I18" s="12"/>
      <c r="J18" s="12"/>
      <c r="K18" s="12"/>
      <c r="L18" s="12"/>
    </row>
    <row r="19" spans="1:18" x14ac:dyDescent="0.25">
      <c r="A19" s="66" t="s">
        <v>41</v>
      </c>
      <c r="B19" s="66"/>
      <c r="C19" s="66"/>
      <c r="D19" s="66"/>
      <c r="E19" s="66"/>
      <c r="H19" s="34">
        <f>SUM(H9:H17)</f>
        <v>12256.066666666666</v>
      </c>
      <c r="I19" s="34">
        <f t="shared" ref="I19:R19" si="10">SUM(I9:I17)</f>
        <v>14117.733333333335</v>
      </c>
      <c r="J19" s="34">
        <f t="shared" si="10"/>
        <v>15979.4</v>
      </c>
      <c r="K19" s="34">
        <f t="shared" si="10"/>
        <v>17841.066666666666</v>
      </c>
      <c r="L19" s="34">
        <f t="shared" si="10"/>
        <v>19702.733333333334</v>
      </c>
      <c r="M19" s="34">
        <f t="shared" si="10"/>
        <v>21564.399999999998</v>
      </c>
      <c r="N19" s="34">
        <f t="shared" si="10"/>
        <v>23426.066666666669</v>
      </c>
      <c r="O19" s="34">
        <f t="shared" si="10"/>
        <v>25287.73333333333</v>
      </c>
      <c r="P19" s="34">
        <f t="shared" si="10"/>
        <v>27149.4</v>
      </c>
      <c r="Q19" s="34">
        <f t="shared" si="10"/>
        <v>29011.066666666669</v>
      </c>
      <c r="R19" s="34">
        <f t="shared" si="10"/>
        <v>30872.73333333333</v>
      </c>
    </row>
    <row r="20" spans="1:18" x14ac:dyDescent="0.25">
      <c r="A20" s="4" t="s">
        <v>73</v>
      </c>
      <c r="B20" s="4"/>
      <c r="C20" s="4"/>
      <c r="D20" s="4"/>
      <c r="E20" s="4"/>
      <c r="H20" s="34">
        <f>H19</f>
        <v>12256.066666666666</v>
      </c>
      <c r="I20" s="34">
        <f>I19*(1+'Data input'!$D$23/100)^I4</f>
        <v>14258.910666666668</v>
      </c>
      <c r="J20" s="34">
        <f>J19*(1+'Data input'!$D$23/100)^J4</f>
        <v>16300.585939999999</v>
      </c>
      <c r="K20" s="34">
        <f>K19*(1+'Data input'!$D$23/100)^K4</f>
        <v>18381.668827733331</v>
      </c>
      <c r="L20" s="34">
        <f>L19*(1+'Data input'!$D$23/100)^L4</f>
        <v>20502.743314627332</v>
      </c>
      <c r="M20" s="34">
        <f>M19*(1+'Data input'!$D$23/100)^M4</f>
        <v>22664.401124376436</v>
      </c>
      <c r="N20" s="34">
        <f>N19*(1+'Data input'!$D$23/100)^N4</f>
        <v>24867.241815989073</v>
      </c>
      <c r="O20" s="34">
        <f>O19*(1+'Data input'!$D$23/100)^O4</f>
        <v>27111.872881321498</v>
      </c>
      <c r="P20" s="34">
        <f>P19*(1+'Data input'!$D$23/100)^P4</f>
        <v>29398.909843779002</v>
      </c>
      <c r="Q20" s="34">
        <f>Q19*(1+'Data input'!$D$23/100)^Q4</f>
        <v>31728.976358197517</v>
      </c>
      <c r="R20" s="34">
        <f>R19*(1+'Data input'!$D$23/100)^R4</f>
        <v>34102.70431192001</v>
      </c>
    </row>
    <row r="21" spans="1:18" x14ac:dyDescent="0.25">
      <c r="A21" s="19"/>
      <c r="B21" s="19"/>
      <c r="C21" s="19"/>
      <c r="D21" s="19"/>
      <c r="E21" s="19"/>
      <c r="H21" s="43"/>
      <c r="I21" s="12"/>
      <c r="J21" s="12"/>
      <c r="K21" s="12"/>
      <c r="L21" s="12"/>
      <c r="M21" s="12"/>
    </row>
    <row r="22" spans="1:18" x14ac:dyDescent="0.25">
      <c r="A22" s="4" t="s">
        <v>112</v>
      </c>
      <c r="B22" s="4"/>
      <c r="C22" s="4"/>
      <c r="D22" s="4"/>
      <c r="E22" s="4"/>
      <c r="H22" s="34">
        <f>'Data input'!I32</f>
        <v>9552</v>
      </c>
      <c r="I22" s="12">
        <f>H22+$P$28 -'Data input'!H21</f>
        <v>11882</v>
      </c>
      <c r="J22" s="12">
        <f>I22+$P$28</f>
        <v>14462</v>
      </c>
      <c r="K22" s="12">
        <f t="shared" ref="K22:R22" si="11">J22+$P$28</f>
        <v>17042</v>
      </c>
      <c r="L22" s="12">
        <f t="shared" si="11"/>
        <v>19622</v>
      </c>
      <c r="M22" s="12">
        <f t="shared" si="11"/>
        <v>22202</v>
      </c>
      <c r="N22" s="12">
        <f t="shared" si="11"/>
        <v>24782</v>
      </c>
      <c r="O22" s="12">
        <f t="shared" si="11"/>
        <v>27362</v>
      </c>
      <c r="P22" s="12">
        <f t="shared" si="11"/>
        <v>29942</v>
      </c>
      <c r="Q22" s="12">
        <f t="shared" si="11"/>
        <v>32522</v>
      </c>
      <c r="R22" s="12">
        <f t="shared" si="11"/>
        <v>35102</v>
      </c>
    </row>
    <row r="23" spans="1:18" x14ac:dyDescent="0.25">
      <c r="A23" s="4" t="s">
        <v>43</v>
      </c>
      <c r="B23" s="4"/>
      <c r="C23" s="4"/>
      <c r="D23" s="4"/>
      <c r="E23" s="4"/>
      <c r="H23" s="34">
        <f>H19-H22</f>
        <v>2704.0666666666657</v>
      </c>
      <c r="I23" s="12">
        <f t="shared" ref="I23:R23" si="12">I19-I22</f>
        <v>2235.7333333333354</v>
      </c>
      <c r="J23" s="12">
        <f t="shared" si="12"/>
        <v>1517.3999999999996</v>
      </c>
      <c r="K23" s="12">
        <f t="shared" si="12"/>
        <v>799.0666666666657</v>
      </c>
      <c r="L23" s="12">
        <f t="shared" si="12"/>
        <v>80.733333333333576</v>
      </c>
      <c r="M23" s="12">
        <f t="shared" si="12"/>
        <v>-637.60000000000218</v>
      </c>
      <c r="N23" s="12">
        <f t="shared" si="12"/>
        <v>-1355.9333333333307</v>
      </c>
      <c r="O23" s="12">
        <f t="shared" si="12"/>
        <v>-2074.2666666666701</v>
      </c>
      <c r="P23" s="12">
        <f t="shared" si="12"/>
        <v>-2792.5999999999985</v>
      </c>
      <c r="Q23" s="12">
        <f t="shared" si="12"/>
        <v>-3510.9333333333307</v>
      </c>
      <c r="R23" s="12">
        <f t="shared" si="12"/>
        <v>-4229.2666666666701</v>
      </c>
    </row>
    <row r="24" spans="1:18" x14ac:dyDescent="0.25">
      <c r="A24" s="4" t="s">
        <v>44</v>
      </c>
      <c r="B24" s="4"/>
      <c r="C24" s="4"/>
      <c r="D24" s="4"/>
      <c r="E24" s="4"/>
      <c r="H24" s="34">
        <f>H23/'Data input'!$L$11</f>
        <v>386.29523809523795</v>
      </c>
      <c r="I24" s="12">
        <f>I23/'Data input'!$L$11</f>
        <v>319.39047619047648</v>
      </c>
      <c r="J24" s="12">
        <f>J23/'Data input'!$L$11</f>
        <v>216.77142857142852</v>
      </c>
      <c r="K24" s="12">
        <f>K23/'Data input'!$L$11</f>
        <v>114.15238095238081</v>
      </c>
      <c r="L24" s="12">
        <f>L23/'Data input'!$L$11</f>
        <v>11.533333333333369</v>
      </c>
      <c r="M24" s="12">
        <f>M23/'Data input'!$L$11</f>
        <v>-91.085714285714602</v>
      </c>
      <c r="N24" s="12">
        <f>N23/'Data input'!$L$11</f>
        <v>-193.70476190476151</v>
      </c>
      <c r="O24" s="12">
        <f>O23/'Data input'!$L$11</f>
        <v>-296.32380952380998</v>
      </c>
      <c r="P24" s="12">
        <f>P23/'Data input'!$L$11</f>
        <v>-398.94285714285695</v>
      </c>
      <c r="Q24" s="12">
        <f>Q23/'Data input'!$L$11</f>
        <v>-501.56190476190437</v>
      </c>
      <c r="R24" s="12">
        <f>R23/'Data input'!$L$11</f>
        <v>-604.18095238095282</v>
      </c>
    </row>
    <row r="25" spans="1:18" x14ac:dyDescent="0.25">
      <c r="A25" s="19" t="s">
        <v>45</v>
      </c>
      <c r="B25" s="19"/>
      <c r="C25" s="19"/>
      <c r="D25" s="19"/>
      <c r="E25" s="19"/>
      <c r="H25" s="34">
        <f>100*H22/H19</f>
        <v>77.936912875800289</v>
      </c>
      <c r="I25" s="12">
        <f t="shared" ref="I25:R25" si="13">100*I22/I19</f>
        <v>84.163652333235731</v>
      </c>
      <c r="J25" s="12">
        <f t="shared" si="13"/>
        <v>90.504023930810916</v>
      </c>
      <c r="K25" s="12">
        <f t="shared" si="13"/>
        <v>95.521194547411227</v>
      </c>
      <c r="L25" s="12">
        <f t="shared" si="13"/>
        <v>99.590242978131627</v>
      </c>
      <c r="M25" s="12">
        <f t="shared" si="13"/>
        <v>102.9567249726401</v>
      </c>
      <c r="N25" s="12">
        <f t="shared" si="13"/>
        <v>105.78813913845259</v>
      </c>
      <c r="O25" s="12">
        <f t="shared" si="13"/>
        <v>108.20265952398529</v>
      </c>
      <c r="P25" s="12">
        <f t="shared" si="13"/>
        <v>110.28604683713084</v>
      </c>
      <c r="Q25" s="12">
        <f t="shared" si="13"/>
        <v>112.10204841370879</v>
      </c>
      <c r="R25" s="12">
        <f t="shared" si="13"/>
        <v>113.69903539477123</v>
      </c>
    </row>
    <row r="27" spans="1:18" ht="15.75" thickBot="1" x14ac:dyDescent="0.3">
      <c r="A27" t="s">
        <v>63</v>
      </c>
    </row>
    <row r="28" spans="1:18" ht="15" customHeight="1" x14ac:dyDescent="0.25">
      <c r="B28" s="65"/>
      <c r="C28" s="65"/>
      <c r="D28" s="65"/>
      <c r="E28" s="65"/>
      <c r="F28" s="64" t="s">
        <v>74</v>
      </c>
      <c r="G28" s="64"/>
      <c r="H28" s="64"/>
      <c r="I28" s="64"/>
      <c r="J28" s="4">
        <f>('Data input'!K11*'Data input'!L11+'Data input'!K17)*4</f>
        <v>3180</v>
      </c>
      <c r="K28" s="15"/>
      <c r="M28" s="93" t="s">
        <v>47</v>
      </c>
      <c r="N28" s="94"/>
      <c r="O28" s="94"/>
      <c r="P28" s="97">
        <f>J28-J29</f>
        <v>2580</v>
      </c>
      <c r="Q28" s="27"/>
    </row>
    <row r="29" spans="1:18" ht="15" customHeight="1" thickBot="1" x14ac:dyDescent="0.3">
      <c r="B29" s="64" t="s">
        <v>78</v>
      </c>
      <c r="C29" s="64"/>
      <c r="D29" s="64"/>
      <c r="E29" s="64"/>
      <c r="F29" s="64"/>
      <c r="G29" s="64"/>
      <c r="H29" s="64"/>
      <c r="I29" s="64"/>
      <c r="J29" s="28">
        <v>600</v>
      </c>
      <c r="K29" s="11"/>
      <c r="M29" s="95"/>
      <c r="N29" s="96"/>
      <c r="O29" s="96"/>
      <c r="P29" s="98"/>
      <c r="Q29" s="27"/>
    </row>
    <row r="30" spans="1:18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1"/>
    </row>
    <row r="31" spans="1:18" x14ac:dyDescent="0.25">
      <c r="B31" s="19"/>
      <c r="C31" s="19"/>
      <c r="D31" s="19"/>
      <c r="E31" s="17"/>
      <c r="F31" s="17"/>
      <c r="G31" s="17"/>
      <c r="H31" s="17"/>
      <c r="I31" s="17"/>
      <c r="J31" s="17"/>
      <c r="K31" s="11"/>
    </row>
    <row r="32" spans="1:18" x14ac:dyDescent="0.25">
      <c r="B32" s="4"/>
      <c r="C32" s="4"/>
      <c r="D32" s="4"/>
      <c r="E32" s="4"/>
      <c r="F32" s="4"/>
      <c r="G32" s="4"/>
      <c r="H32" s="4"/>
    </row>
    <row r="33" spans="1:12" x14ac:dyDescent="0.25">
      <c r="A33" s="4"/>
      <c r="B33" s="20"/>
      <c r="C33" s="20"/>
      <c r="D33" s="20"/>
      <c r="E33" s="4"/>
      <c r="F33" s="4"/>
      <c r="G33" s="4"/>
      <c r="H33" s="4"/>
      <c r="I33" s="4"/>
      <c r="J33" s="4"/>
      <c r="K33" s="4"/>
      <c r="L33" s="4"/>
    </row>
    <row r="36" spans="1:12" x14ac:dyDescent="0.25">
      <c r="E36" s="11"/>
    </row>
    <row r="37" spans="1:12" x14ac:dyDescent="0.25">
      <c r="E37" s="11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13" workbookViewId="0">
      <selection activeCell="H26" sqref="H26"/>
    </sheetView>
  </sheetViews>
  <sheetFormatPr defaultRowHeight="15" x14ac:dyDescent="0.25"/>
  <sheetData>
    <row r="1" spans="1:19" ht="15" customHeight="1" x14ac:dyDescent="0.25">
      <c r="F1" s="78" t="s">
        <v>105</v>
      </c>
      <c r="G1" s="78"/>
      <c r="H1" s="78"/>
      <c r="I1" s="78"/>
      <c r="J1" s="78"/>
      <c r="K1" s="78" t="str">
        <f>'Data input'!H4</f>
        <v>July</v>
      </c>
      <c r="L1" s="78"/>
      <c r="M1" s="78">
        <f>'Data input'!D4</f>
        <v>2017</v>
      </c>
    </row>
    <row r="2" spans="1:19" ht="15" customHeight="1" x14ac:dyDescent="0.25">
      <c r="F2" s="78"/>
      <c r="G2" s="78"/>
      <c r="H2" s="78"/>
      <c r="I2" s="78"/>
      <c r="J2" s="78"/>
      <c r="K2" s="78"/>
      <c r="L2" s="78"/>
      <c r="M2" s="78"/>
    </row>
    <row r="4" spans="1:19" x14ac:dyDescent="0.25">
      <c r="G4" s="81" t="s">
        <v>1</v>
      </c>
      <c r="H4" s="81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  <c r="S4" s="18"/>
    </row>
    <row r="5" spans="1:19" x14ac:dyDescent="0.25">
      <c r="E5" s="18" t="s">
        <v>16</v>
      </c>
      <c r="G5" s="81">
        <f>'Data input'!D4</f>
        <v>2017</v>
      </c>
      <c r="H5" s="81"/>
      <c r="I5" s="18">
        <f>G5+1</f>
        <v>2018</v>
      </c>
      <c r="J5" s="18">
        <f>I5+1</f>
        <v>2019</v>
      </c>
      <c r="K5" s="18">
        <f t="shared" ref="K5:M5" si="1">J5+1</f>
        <v>2020</v>
      </c>
      <c r="L5" s="18">
        <f t="shared" si="1"/>
        <v>2021</v>
      </c>
      <c r="M5" s="18">
        <f t="shared" si="1"/>
        <v>2022</v>
      </c>
      <c r="N5" s="18">
        <f t="shared" si="0"/>
        <v>2023</v>
      </c>
      <c r="O5" s="18">
        <f t="shared" si="0"/>
        <v>2024</v>
      </c>
      <c r="P5" s="18">
        <f t="shared" si="0"/>
        <v>2025</v>
      </c>
      <c r="Q5" s="18">
        <f t="shared" si="0"/>
        <v>2026</v>
      </c>
      <c r="R5" s="18">
        <f t="shared" si="0"/>
        <v>2027</v>
      </c>
      <c r="S5" s="18"/>
    </row>
    <row r="6" spans="1:19" ht="15" customHeight="1" x14ac:dyDescent="0.25">
      <c r="C6" s="65" t="s">
        <v>17</v>
      </c>
      <c r="D6" s="65"/>
      <c r="E6" t="s">
        <v>18</v>
      </c>
      <c r="F6" s="18" t="s">
        <v>19</v>
      </c>
      <c r="G6" s="35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29"/>
    </row>
    <row r="7" spans="1:19" ht="15" customHeight="1" x14ac:dyDescent="0.25">
      <c r="D7" t="s">
        <v>23</v>
      </c>
      <c r="E7" s="18" t="s">
        <v>24</v>
      </c>
      <c r="F7" s="18" t="s">
        <v>25</v>
      </c>
      <c r="G7" s="35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29"/>
    </row>
    <row r="8" spans="1:19" x14ac:dyDescent="0.25">
      <c r="A8" s="65" t="s">
        <v>58</v>
      </c>
      <c r="B8" s="65"/>
      <c r="C8" s="19"/>
      <c r="D8" s="19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64" t="s">
        <v>37</v>
      </c>
      <c r="B9" s="64"/>
      <c r="C9" s="22">
        <v>600</v>
      </c>
      <c r="D9" t="s">
        <v>29</v>
      </c>
      <c r="E9" s="15">
        <f>C9*'Data input'!D9</f>
        <v>4500</v>
      </c>
      <c r="F9" s="13">
        <v>30</v>
      </c>
      <c r="G9" s="11">
        <v>17</v>
      </c>
      <c r="H9" s="34">
        <f>$E$9*$G$9/$F$9</f>
        <v>2550</v>
      </c>
      <c r="I9" s="12">
        <f>$E$9*($G$9+I4)/$F$9</f>
        <v>2700</v>
      </c>
      <c r="J9" s="12">
        <f t="shared" ref="J9:R9" si="2">$E$9*($G$9+J4)/$F$9</f>
        <v>2850</v>
      </c>
      <c r="K9" s="12">
        <f t="shared" si="2"/>
        <v>3000</v>
      </c>
      <c r="L9" s="12">
        <f t="shared" si="2"/>
        <v>3150</v>
      </c>
      <c r="M9" s="12">
        <f t="shared" si="2"/>
        <v>3300</v>
      </c>
      <c r="N9" s="12">
        <f t="shared" si="2"/>
        <v>3450</v>
      </c>
      <c r="O9" s="12">
        <f t="shared" si="2"/>
        <v>3600</v>
      </c>
      <c r="P9" s="12">
        <f t="shared" si="2"/>
        <v>3750</v>
      </c>
      <c r="Q9" s="12">
        <f t="shared" si="2"/>
        <v>3900</v>
      </c>
      <c r="R9" s="12">
        <f t="shared" si="2"/>
        <v>4050</v>
      </c>
    </row>
    <row r="10" spans="1:19" x14ac:dyDescent="0.25">
      <c r="B10" s="17" t="s">
        <v>32</v>
      </c>
      <c r="C10" s="22">
        <v>550</v>
      </c>
      <c r="D10" t="s">
        <v>29</v>
      </c>
      <c r="E10" s="13">
        <f>C10*'Data input'!D10</f>
        <v>1100</v>
      </c>
      <c r="F10" s="13">
        <v>25</v>
      </c>
      <c r="G10" s="11">
        <f>15+$G$5-2015</f>
        <v>17</v>
      </c>
      <c r="H10" s="34">
        <f>$E$10*$G$10/$F$10</f>
        <v>748</v>
      </c>
      <c r="I10" s="12">
        <f>$E$10*($G$10+I4)/$F$10</f>
        <v>792</v>
      </c>
      <c r="J10" s="12">
        <f t="shared" ref="J10:R10" si="3">$E$10*($G$10+J4)/$F$10</f>
        <v>836</v>
      </c>
      <c r="K10" s="12">
        <f t="shared" si="3"/>
        <v>880</v>
      </c>
      <c r="L10" s="12">
        <f t="shared" si="3"/>
        <v>924</v>
      </c>
      <c r="M10" s="12">
        <f t="shared" si="3"/>
        <v>968</v>
      </c>
      <c r="N10" s="12">
        <f t="shared" si="3"/>
        <v>1012</v>
      </c>
      <c r="O10" s="12">
        <f t="shared" si="3"/>
        <v>1056</v>
      </c>
      <c r="P10" s="12">
        <f t="shared" si="3"/>
        <v>1100</v>
      </c>
      <c r="Q10" s="12">
        <f t="shared" si="3"/>
        <v>1144</v>
      </c>
      <c r="R10" s="12">
        <f t="shared" si="3"/>
        <v>1188</v>
      </c>
    </row>
    <row r="11" spans="1:19" x14ac:dyDescent="0.25">
      <c r="B11" s="17" t="s">
        <v>107</v>
      </c>
      <c r="C11" s="22">
        <v>1200</v>
      </c>
      <c r="D11" t="s">
        <v>29</v>
      </c>
      <c r="E11" s="13">
        <f>C11*'Data input'!D8</f>
        <v>2400</v>
      </c>
      <c r="F11" s="13">
        <v>8</v>
      </c>
      <c r="G11" s="11">
        <v>1</v>
      </c>
      <c r="H11" s="34">
        <f>$E$11*$G$11/$F$11</f>
        <v>300</v>
      </c>
      <c r="I11" s="12">
        <f>$E$11*(1+I4)/$F$11</f>
        <v>600</v>
      </c>
      <c r="J11" s="12">
        <f t="shared" ref="J11:R11" si="4">$E$11*(1+J4)/$F$11</f>
        <v>900</v>
      </c>
      <c r="K11" s="12">
        <f t="shared" si="4"/>
        <v>1200</v>
      </c>
      <c r="L11" s="12">
        <f t="shared" si="4"/>
        <v>1500</v>
      </c>
      <c r="M11" s="12">
        <f t="shared" si="4"/>
        <v>1800</v>
      </c>
      <c r="N11" s="12">
        <f t="shared" si="4"/>
        <v>2100</v>
      </c>
      <c r="O11" s="12">
        <f t="shared" si="4"/>
        <v>2400</v>
      </c>
      <c r="P11" s="12">
        <f t="shared" si="4"/>
        <v>2700</v>
      </c>
      <c r="Q11" s="12">
        <f t="shared" si="4"/>
        <v>3000</v>
      </c>
      <c r="R11" s="12">
        <f t="shared" si="4"/>
        <v>3300</v>
      </c>
    </row>
    <row r="12" spans="1:19" x14ac:dyDescent="0.25">
      <c r="B12" s="17" t="s">
        <v>5</v>
      </c>
      <c r="C12" s="22">
        <v>64</v>
      </c>
      <c r="D12" t="s">
        <v>59</v>
      </c>
      <c r="E12" s="13">
        <f>C12*'Data input'!D11</f>
        <v>320</v>
      </c>
      <c r="F12" s="13">
        <v>25</v>
      </c>
      <c r="G12" s="11">
        <f>15+$G$5-2015</f>
        <v>17</v>
      </c>
      <c r="H12" s="34">
        <f>$E$12*$G$12/$F$12</f>
        <v>217.6</v>
      </c>
      <c r="I12" s="12">
        <f>$E$12*($G$12+I4)/$F$12</f>
        <v>230.4</v>
      </c>
      <c r="J12" s="12">
        <f t="shared" ref="J12:R12" si="5">$E$12*($G$12+J4)/$F$12</f>
        <v>243.2</v>
      </c>
      <c r="K12" s="12">
        <f t="shared" si="5"/>
        <v>256</v>
      </c>
      <c r="L12" s="12">
        <f t="shared" si="5"/>
        <v>268.8</v>
      </c>
      <c r="M12" s="12">
        <f t="shared" si="5"/>
        <v>281.60000000000002</v>
      </c>
      <c r="N12" s="12">
        <f t="shared" si="5"/>
        <v>294.39999999999998</v>
      </c>
      <c r="O12" s="12">
        <f t="shared" si="5"/>
        <v>307.2</v>
      </c>
      <c r="P12" s="12">
        <f t="shared" si="5"/>
        <v>320</v>
      </c>
      <c r="Q12" s="12">
        <f t="shared" si="5"/>
        <v>332.8</v>
      </c>
      <c r="R12" s="12">
        <f t="shared" si="5"/>
        <v>345.6</v>
      </c>
    </row>
    <row r="13" spans="1:19" x14ac:dyDescent="0.25">
      <c r="B13" s="17" t="s">
        <v>35</v>
      </c>
      <c r="C13" s="17"/>
      <c r="D13" s="17"/>
      <c r="E13" s="13">
        <v>1000</v>
      </c>
      <c r="F13" s="13">
        <v>40</v>
      </c>
      <c r="G13" s="11">
        <v>5</v>
      </c>
      <c r="H13" s="34">
        <f>$E$13*$G$13/$F$13</f>
        <v>125</v>
      </c>
      <c r="I13" s="12">
        <f>$E$13*($G$13+I4)/$F$13</f>
        <v>150</v>
      </c>
      <c r="J13" s="12">
        <f t="shared" ref="J13:R13" si="6">$E$13*($G$13+J4)/$F$13</f>
        <v>175</v>
      </c>
      <c r="K13" s="12">
        <f t="shared" si="6"/>
        <v>200</v>
      </c>
      <c r="L13" s="12">
        <f t="shared" si="6"/>
        <v>225</v>
      </c>
      <c r="M13" s="12">
        <f t="shared" si="6"/>
        <v>250</v>
      </c>
      <c r="N13" s="12">
        <f t="shared" si="6"/>
        <v>275</v>
      </c>
      <c r="O13" s="12">
        <f t="shared" si="6"/>
        <v>300</v>
      </c>
      <c r="P13" s="12">
        <f t="shared" si="6"/>
        <v>325</v>
      </c>
      <c r="Q13" s="12">
        <f t="shared" si="6"/>
        <v>350</v>
      </c>
      <c r="R13" s="12">
        <f t="shared" si="6"/>
        <v>375</v>
      </c>
    </row>
    <row r="14" spans="1:19" x14ac:dyDescent="0.25">
      <c r="H14" s="34"/>
      <c r="I14" s="12"/>
      <c r="J14" s="12"/>
      <c r="K14" s="12"/>
      <c r="L14" s="12"/>
    </row>
    <row r="15" spans="1:19" x14ac:dyDescent="0.25">
      <c r="A15" s="66" t="s">
        <v>41</v>
      </c>
      <c r="B15" s="66"/>
      <c r="C15" s="66"/>
      <c r="D15" s="66"/>
      <c r="E15" s="66"/>
      <c r="H15" s="34">
        <f>SUM(H9:H13)</f>
        <v>3940.6</v>
      </c>
      <c r="I15" s="34">
        <f t="shared" ref="I15:R15" si="7">SUM(I9:I13)</f>
        <v>4472.3999999999996</v>
      </c>
      <c r="J15" s="34">
        <f t="shared" si="7"/>
        <v>5004.2</v>
      </c>
      <c r="K15" s="34">
        <f t="shared" si="7"/>
        <v>5536</v>
      </c>
      <c r="L15" s="34">
        <f t="shared" si="7"/>
        <v>6067.8</v>
      </c>
      <c r="M15" s="34">
        <f t="shared" si="7"/>
        <v>6599.6</v>
      </c>
      <c r="N15" s="34">
        <f t="shared" si="7"/>
        <v>7131.4</v>
      </c>
      <c r="O15" s="34">
        <f t="shared" si="7"/>
        <v>7663.2</v>
      </c>
      <c r="P15" s="34">
        <f t="shared" si="7"/>
        <v>8195</v>
      </c>
      <c r="Q15" s="34">
        <f t="shared" si="7"/>
        <v>8726.7999999999993</v>
      </c>
      <c r="R15" s="34">
        <f t="shared" si="7"/>
        <v>9258.6</v>
      </c>
      <c r="S15" s="12"/>
    </row>
    <row r="16" spans="1:19" x14ac:dyDescent="0.25">
      <c r="A16" s="19" t="s">
        <v>73</v>
      </c>
      <c r="B16" s="19"/>
      <c r="C16" s="19"/>
      <c r="D16" s="19"/>
      <c r="E16" s="19"/>
      <c r="H16" s="34">
        <f>H15</f>
        <v>3940.6</v>
      </c>
      <c r="I16" s="12">
        <f>I15*(1+'Data input'!$D$23/100)^I4</f>
        <v>4517.1239999999998</v>
      </c>
      <c r="J16" s="12">
        <f>J15*(1+'Data input'!$D$23/100)^J4</f>
        <v>5104.78442</v>
      </c>
      <c r="K16" s="12">
        <f>K15*(1+'Data input'!$D$23/100)^K4</f>
        <v>5703.7463359999992</v>
      </c>
      <c r="L16" s="12">
        <f>L15*(1+'Data input'!$D$23/100)^L4</f>
        <v>6314.1770118780005</v>
      </c>
      <c r="M16" s="12">
        <f>M15*(1+'Data input'!$D$23/100)^M4</f>
        <v>6936.2459266399601</v>
      </c>
      <c r="N16" s="12">
        <f>N15*(1+'Data input'!$D$23/100)^N4</f>
        <v>7570.1248019959721</v>
      </c>
      <c r="O16" s="12">
        <f>O15*(1+'Data input'!$D$23/100)^O4</f>
        <v>8215.9876302664379</v>
      </c>
      <c r="P16" s="12">
        <f>P15*(1+'Data input'!$D$23/100)^P4</f>
        <v>8874.0107026221176</v>
      </c>
      <c r="Q16" s="12">
        <f>Q15*(1+'Data input'!$D$23/100)^Q4</f>
        <v>9544.3726376618815</v>
      </c>
      <c r="R16" s="12">
        <f>R15*(1+'Data input'!$D$23/100)^R4</f>
        <v>10227.254410332182</v>
      </c>
      <c r="S16" s="12"/>
    </row>
    <row r="17" spans="1:19" x14ac:dyDescent="0.25">
      <c r="A17" s="19"/>
      <c r="B17" s="19"/>
      <c r="C17" s="19"/>
      <c r="D17" s="19"/>
      <c r="E17" s="19"/>
      <c r="H17" s="43"/>
      <c r="I17" s="12"/>
      <c r="J17" s="12"/>
      <c r="K17" s="12"/>
      <c r="L17" s="12"/>
      <c r="M17" s="12"/>
    </row>
    <row r="18" spans="1:19" x14ac:dyDescent="0.25">
      <c r="A18" s="66" t="s">
        <v>112</v>
      </c>
      <c r="B18" s="66"/>
      <c r="C18" s="66"/>
      <c r="D18" s="66"/>
      <c r="E18" s="66"/>
      <c r="H18" s="34">
        <f>'Data input'!I33</f>
        <v>-2408</v>
      </c>
      <c r="I18" s="12">
        <f>H18+$N$26 -'Data input'!H22</f>
        <v>-1908</v>
      </c>
      <c r="J18" s="12">
        <f>I18+$N$26</f>
        <v>-1258</v>
      </c>
      <c r="K18" s="12">
        <f t="shared" ref="K18:R18" si="8">J18+$N$26</f>
        <v>-608</v>
      </c>
      <c r="L18" s="12">
        <f t="shared" si="8"/>
        <v>42</v>
      </c>
      <c r="M18" s="12">
        <f t="shared" si="8"/>
        <v>692</v>
      </c>
      <c r="N18" s="12">
        <f t="shared" si="8"/>
        <v>1342</v>
      </c>
      <c r="O18" s="12">
        <f t="shared" si="8"/>
        <v>1992</v>
      </c>
      <c r="P18" s="12">
        <f t="shared" si="8"/>
        <v>2642</v>
      </c>
      <c r="Q18" s="12">
        <f t="shared" si="8"/>
        <v>3292</v>
      </c>
      <c r="R18" s="12">
        <f t="shared" si="8"/>
        <v>3942</v>
      </c>
      <c r="S18" s="12"/>
    </row>
    <row r="19" spans="1:19" x14ac:dyDescent="0.25">
      <c r="A19" s="66" t="s">
        <v>43</v>
      </c>
      <c r="B19" s="66"/>
      <c r="C19" s="66"/>
      <c r="D19" s="66"/>
      <c r="E19" s="66"/>
      <c r="H19" s="34">
        <f t="shared" ref="H19:R19" si="9">H15-H18</f>
        <v>6348.6</v>
      </c>
      <c r="I19" s="12">
        <f t="shared" si="9"/>
        <v>6380.4</v>
      </c>
      <c r="J19" s="12">
        <f t="shared" si="9"/>
        <v>6262.2</v>
      </c>
      <c r="K19" s="12">
        <f t="shared" si="9"/>
        <v>6144</v>
      </c>
      <c r="L19" s="12">
        <f t="shared" si="9"/>
        <v>6025.8</v>
      </c>
      <c r="M19" s="12">
        <f t="shared" si="9"/>
        <v>5907.6</v>
      </c>
      <c r="N19" s="12">
        <f t="shared" si="9"/>
        <v>5789.4</v>
      </c>
      <c r="O19" s="12">
        <f t="shared" si="9"/>
        <v>5671.2</v>
      </c>
      <c r="P19" s="12">
        <f t="shared" si="9"/>
        <v>5553</v>
      </c>
      <c r="Q19" s="12">
        <f t="shared" si="9"/>
        <v>5434.7999999999993</v>
      </c>
      <c r="R19" s="12">
        <f t="shared" si="9"/>
        <v>5316.6</v>
      </c>
      <c r="S19" s="12"/>
    </row>
    <row r="20" spans="1:19" x14ac:dyDescent="0.25">
      <c r="A20" s="66" t="s">
        <v>44</v>
      </c>
      <c r="B20" s="66"/>
      <c r="C20" s="66"/>
      <c r="D20" s="66"/>
      <c r="E20" s="66"/>
      <c r="H20" s="34">
        <f>H19/'Data input'!$L$12</f>
        <v>3174.3</v>
      </c>
      <c r="I20" s="12">
        <f>I19/'Data input'!$L$12</f>
        <v>3190.2</v>
      </c>
      <c r="J20" s="12">
        <f>J19/'Data input'!$L$12</f>
        <v>3131.1</v>
      </c>
      <c r="K20" s="12">
        <f>K19/'Data input'!$L$12</f>
        <v>3072</v>
      </c>
      <c r="L20" s="12">
        <f>L19/'Data input'!$L$12</f>
        <v>3012.9</v>
      </c>
      <c r="M20" s="12">
        <f>M19/'Data input'!$L$12</f>
        <v>2953.8</v>
      </c>
      <c r="N20" s="12">
        <f>N19/'Data input'!$L$12</f>
        <v>2894.7</v>
      </c>
      <c r="O20" s="12">
        <f>O19/'Data input'!$L$12</f>
        <v>2835.6</v>
      </c>
      <c r="P20" s="12">
        <f>P19/'Data input'!$L$12</f>
        <v>2776.5</v>
      </c>
      <c r="Q20" s="12">
        <f>Q19/'Data input'!$L$12</f>
        <v>2717.3999999999996</v>
      </c>
      <c r="R20" s="12">
        <f>R19/'Data input'!$L$12</f>
        <v>2658.3</v>
      </c>
      <c r="S20" s="12"/>
    </row>
    <row r="21" spans="1:19" x14ac:dyDescent="0.25">
      <c r="A21" s="19" t="s">
        <v>45</v>
      </c>
      <c r="B21" s="19"/>
      <c r="C21" s="19"/>
      <c r="D21" s="19"/>
      <c r="E21" s="19"/>
      <c r="H21" s="34">
        <f t="shared" ref="H21:R21" si="10">100*H18/H15</f>
        <v>-61.107445566664978</v>
      </c>
      <c r="I21" s="12">
        <f t="shared" si="10"/>
        <v>-42.661658170110009</v>
      </c>
      <c r="J21" s="12">
        <f t="shared" si="10"/>
        <v>-25.138883337996084</v>
      </c>
      <c r="K21" s="12">
        <f t="shared" si="10"/>
        <v>-10.982658959537572</v>
      </c>
      <c r="L21" s="12">
        <f t="shared" si="10"/>
        <v>0.69217838425788591</v>
      </c>
      <c r="M21" s="12">
        <f t="shared" si="10"/>
        <v>10.485483968725378</v>
      </c>
      <c r="N21" s="12">
        <f t="shared" si="10"/>
        <v>18.818184367725834</v>
      </c>
      <c r="O21" s="12">
        <f t="shared" si="10"/>
        <v>25.994362668336986</v>
      </c>
      <c r="P21" s="12">
        <f t="shared" si="10"/>
        <v>32.239170225747408</v>
      </c>
      <c r="Q21" s="12">
        <f t="shared" si="10"/>
        <v>37.722876655818858</v>
      </c>
      <c r="R21" s="12">
        <f t="shared" si="10"/>
        <v>42.576631456159674</v>
      </c>
      <c r="S21" s="12"/>
    </row>
    <row r="23" spans="1:19" x14ac:dyDescent="0.25">
      <c r="A23" t="s">
        <v>63</v>
      </c>
    </row>
    <row r="24" spans="1:19" x14ac:dyDescent="0.25">
      <c r="B24" s="4"/>
      <c r="C24" s="4"/>
      <c r="D24" s="4"/>
      <c r="E24" s="4"/>
      <c r="F24" s="11"/>
    </row>
    <row r="25" spans="1:19" ht="15.75" thickBot="1" x14ac:dyDescent="0.3">
      <c r="B25" s="4"/>
      <c r="C25" s="4"/>
      <c r="D25" s="4"/>
      <c r="E25" s="4"/>
    </row>
    <row r="26" spans="1:19" x14ac:dyDescent="0.25">
      <c r="B26" s="4"/>
      <c r="C26" s="4"/>
      <c r="D26" s="64" t="s">
        <v>74</v>
      </c>
      <c r="E26" s="64"/>
      <c r="F26" s="64"/>
      <c r="G26" s="64"/>
      <c r="H26">
        <f>'Data input'!K12*'Data input'!L12*4</f>
        <v>800</v>
      </c>
      <c r="J26" s="99" t="s">
        <v>47</v>
      </c>
      <c r="K26" s="100"/>
      <c r="L26" s="100"/>
      <c r="M26" s="100"/>
      <c r="N26" s="103">
        <f>H26-H27</f>
        <v>650</v>
      </c>
    </row>
    <row r="27" spans="1:19" ht="15.75" thickBot="1" x14ac:dyDescent="0.3">
      <c r="B27" s="64" t="s">
        <v>80</v>
      </c>
      <c r="C27" s="64"/>
      <c r="D27" s="64"/>
      <c r="E27" s="64"/>
      <c r="F27" s="64"/>
      <c r="G27" s="64"/>
      <c r="H27" s="28">
        <v>150</v>
      </c>
      <c r="I27" s="4"/>
      <c r="J27" s="101"/>
      <c r="K27" s="102"/>
      <c r="L27" s="102"/>
      <c r="M27" s="102"/>
      <c r="N27" s="104"/>
    </row>
    <row r="28" spans="1:19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1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9" x14ac:dyDescent="0.25">
      <c r="B31" s="25"/>
      <c r="C31" s="25"/>
      <c r="D31" s="25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F20" sqref="F20"/>
    </sheetView>
  </sheetViews>
  <sheetFormatPr defaultRowHeight="15" x14ac:dyDescent="0.25"/>
  <sheetData>
    <row r="1" spans="1:18" ht="15" customHeight="1" x14ac:dyDescent="0.25">
      <c r="F1" s="78" t="s">
        <v>81</v>
      </c>
      <c r="G1" s="78"/>
      <c r="H1" s="78"/>
      <c r="I1" s="78"/>
      <c r="J1" s="78"/>
      <c r="K1" s="78" t="str">
        <f>'Data input'!H4</f>
        <v>July</v>
      </c>
      <c r="L1" s="78"/>
      <c r="M1" s="78">
        <f>'Data input'!D4</f>
        <v>2017</v>
      </c>
    </row>
    <row r="2" spans="1:18" x14ac:dyDescent="0.25">
      <c r="F2" s="78"/>
      <c r="G2" s="78"/>
      <c r="H2" s="78"/>
      <c r="I2" s="78"/>
      <c r="J2" s="78"/>
      <c r="K2" s="78"/>
      <c r="L2" s="78"/>
      <c r="M2" s="78"/>
    </row>
    <row r="4" spans="1:18" x14ac:dyDescent="0.25">
      <c r="G4" s="81" t="s">
        <v>1</v>
      </c>
      <c r="H4" s="81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</row>
    <row r="5" spans="1:18" x14ac:dyDescent="0.25">
      <c r="E5" s="18" t="s">
        <v>16</v>
      </c>
      <c r="G5" s="81">
        <f>'Data input'!D4</f>
        <v>2017</v>
      </c>
      <c r="H5" s="81"/>
      <c r="I5" s="18">
        <f>G5+1</f>
        <v>2018</v>
      </c>
      <c r="J5" s="18">
        <f>I5+1</f>
        <v>2019</v>
      </c>
      <c r="K5" s="18">
        <f t="shared" ref="K5:M5" si="1">J5+1</f>
        <v>2020</v>
      </c>
      <c r="L5" s="18">
        <f t="shared" si="1"/>
        <v>2021</v>
      </c>
      <c r="M5" s="18">
        <f t="shared" si="1"/>
        <v>2022</v>
      </c>
      <c r="N5" s="18">
        <f t="shared" si="0"/>
        <v>2023</v>
      </c>
      <c r="O5" s="18">
        <f t="shared" si="0"/>
        <v>2024</v>
      </c>
      <c r="P5" s="18">
        <f t="shared" si="0"/>
        <v>2025</v>
      </c>
      <c r="Q5" s="18">
        <f t="shared" si="0"/>
        <v>2026</v>
      </c>
      <c r="R5" s="18">
        <f t="shared" si="0"/>
        <v>2027</v>
      </c>
    </row>
    <row r="6" spans="1:18" ht="15" customHeight="1" x14ac:dyDescent="0.25">
      <c r="C6" s="65" t="s">
        <v>17</v>
      </c>
      <c r="D6" s="65"/>
      <c r="E6" t="s">
        <v>18</v>
      </c>
      <c r="F6" s="18" t="s">
        <v>19</v>
      </c>
      <c r="G6" s="37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" customHeight="1" x14ac:dyDescent="0.25">
      <c r="E7" s="18" t="s">
        <v>24</v>
      </c>
      <c r="F7" s="18" t="s">
        <v>25</v>
      </c>
      <c r="G7" s="37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5">
      <c r="D8" t="s">
        <v>23</v>
      </c>
      <c r="E8" s="18"/>
      <c r="F8" s="18"/>
      <c r="G8" s="18"/>
      <c r="H8" s="18"/>
      <c r="I8" s="18"/>
      <c r="J8" s="18"/>
      <c r="K8" s="18"/>
      <c r="L8" s="18"/>
      <c r="M8" s="18"/>
    </row>
    <row r="9" spans="1:18" x14ac:dyDescent="0.25">
      <c r="A9" s="64" t="s">
        <v>72</v>
      </c>
      <c r="B9" s="64"/>
      <c r="C9" s="18">
        <v>4698</v>
      </c>
      <c r="D9" s="19" t="s">
        <v>29</v>
      </c>
      <c r="E9" s="13">
        <v>6254</v>
      </c>
      <c r="F9" s="13">
        <v>20</v>
      </c>
      <c r="G9" s="11">
        <v>1</v>
      </c>
      <c r="H9" s="34">
        <f>$E$9*$G$9/$F$9</f>
        <v>312.7</v>
      </c>
      <c r="I9" s="12">
        <f>$E$9*($G$9+I4)/$F$9</f>
        <v>625.4</v>
      </c>
      <c r="J9" s="12">
        <f>$E$9*($G$9+J4)/$F$9</f>
        <v>938.1</v>
      </c>
      <c r="K9" s="12">
        <f t="shared" ref="K9:R9" si="2">$E$9*($G$9+K4)/$F$9</f>
        <v>1250.8</v>
      </c>
      <c r="L9" s="12">
        <f t="shared" si="2"/>
        <v>1563.5</v>
      </c>
      <c r="M9" s="12">
        <f t="shared" si="2"/>
        <v>1876.2</v>
      </c>
      <c r="N9" s="12">
        <f t="shared" si="2"/>
        <v>2188.9</v>
      </c>
      <c r="O9" s="12">
        <f t="shared" si="2"/>
        <v>2501.6</v>
      </c>
      <c r="P9" s="12">
        <f t="shared" si="2"/>
        <v>2814.3</v>
      </c>
      <c r="Q9" s="12">
        <f t="shared" si="2"/>
        <v>3127</v>
      </c>
      <c r="R9" s="12">
        <f t="shared" si="2"/>
        <v>3439.7</v>
      </c>
    </row>
    <row r="10" spans="1:18" x14ac:dyDescent="0.25">
      <c r="A10" s="64" t="s">
        <v>60</v>
      </c>
      <c r="B10" s="64"/>
      <c r="C10" s="22">
        <v>230</v>
      </c>
      <c r="D10" t="s">
        <v>59</v>
      </c>
      <c r="E10" s="13">
        <f>C10*'Data input'!D12</f>
        <v>3220</v>
      </c>
      <c r="F10" s="13">
        <v>30</v>
      </c>
      <c r="G10" s="11">
        <f>5+$G$5-2015</f>
        <v>7</v>
      </c>
      <c r="H10" s="34">
        <f>$E$10*$G$10/$F$10</f>
        <v>751.33333333333337</v>
      </c>
      <c r="I10" s="12">
        <f t="shared" ref="I10:R10" si="3">$E$10*($G$10+I4)/$F$10</f>
        <v>858.66666666666663</v>
      </c>
      <c r="J10" s="12">
        <f t="shared" si="3"/>
        <v>966</v>
      </c>
      <c r="K10" s="12">
        <f t="shared" si="3"/>
        <v>1073.3333333333333</v>
      </c>
      <c r="L10" s="12">
        <f t="shared" si="3"/>
        <v>1180.6666666666667</v>
      </c>
      <c r="M10" s="12">
        <f t="shared" si="3"/>
        <v>1288</v>
      </c>
      <c r="N10" s="12">
        <f t="shared" si="3"/>
        <v>1395.3333333333333</v>
      </c>
      <c r="O10" s="12">
        <f t="shared" si="3"/>
        <v>1502.6666666666667</v>
      </c>
      <c r="P10" s="12">
        <f t="shared" si="3"/>
        <v>1610</v>
      </c>
      <c r="Q10" s="12">
        <f t="shared" si="3"/>
        <v>1717.3333333333333</v>
      </c>
      <c r="R10" s="12">
        <f t="shared" si="3"/>
        <v>1824.6666666666667</v>
      </c>
    </row>
    <row r="11" spans="1:18" x14ac:dyDescent="0.25">
      <c r="A11" s="64" t="s">
        <v>61</v>
      </c>
      <c r="B11" s="64"/>
      <c r="C11" s="22">
        <v>4</v>
      </c>
      <c r="D11" t="s">
        <v>71</v>
      </c>
      <c r="E11" s="13">
        <f>C11*'Data input'!D19</f>
        <v>480</v>
      </c>
      <c r="F11" s="13">
        <v>15</v>
      </c>
      <c r="G11" s="11">
        <f>4+$G$5-2015</f>
        <v>6</v>
      </c>
      <c r="H11" s="34">
        <f>$E$11*$G$11/$F$11</f>
        <v>192</v>
      </c>
      <c r="I11" s="12">
        <f t="shared" ref="I11:R11" si="4">$E$11*($G$11+I4)/$F$11</f>
        <v>224</v>
      </c>
      <c r="J11" s="12">
        <f t="shared" si="4"/>
        <v>256</v>
      </c>
      <c r="K11" s="12">
        <f t="shared" si="4"/>
        <v>288</v>
      </c>
      <c r="L11" s="12">
        <f t="shared" si="4"/>
        <v>320</v>
      </c>
      <c r="M11" s="12">
        <f t="shared" si="4"/>
        <v>352</v>
      </c>
      <c r="N11" s="12">
        <f t="shared" si="4"/>
        <v>384</v>
      </c>
      <c r="O11" s="12">
        <f t="shared" si="4"/>
        <v>416</v>
      </c>
      <c r="P11" s="12">
        <f t="shared" si="4"/>
        <v>448</v>
      </c>
      <c r="Q11" s="12">
        <f t="shared" si="4"/>
        <v>480</v>
      </c>
      <c r="R11" s="12">
        <f t="shared" si="4"/>
        <v>512</v>
      </c>
    </row>
    <row r="12" spans="1:18" x14ac:dyDescent="0.25">
      <c r="H12" s="34"/>
      <c r="I12" s="12"/>
      <c r="J12" s="12"/>
      <c r="K12" s="12"/>
      <c r="L12" s="12"/>
    </row>
    <row r="13" spans="1:18" x14ac:dyDescent="0.25">
      <c r="A13" s="66" t="s">
        <v>41</v>
      </c>
      <c r="B13" s="66"/>
      <c r="C13" s="66"/>
      <c r="D13" s="66"/>
      <c r="E13" s="66"/>
      <c r="H13" s="34">
        <f t="shared" ref="H13:R13" si="5">SUM(H9:H11)</f>
        <v>1256.0333333333333</v>
      </c>
      <c r="I13" s="12">
        <f t="shared" si="5"/>
        <v>1708.0666666666666</v>
      </c>
      <c r="J13" s="12">
        <f t="shared" si="5"/>
        <v>2160.1</v>
      </c>
      <c r="K13" s="12">
        <f t="shared" si="5"/>
        <v>2612.1333333333332</v>
      </c>
      <c r="L13" s="12">
        <f t="shared" si="5"/>
        <v>3064.166666666667</v>
      </c>
      <c r="M13" s="12">
        <f t="shared" si="5"/>
        <v>3516.2</v>
      </c>
      <c r="N13" s="12">
        <f t="shared" si="5"/>
        <v>3968.2333333333336</v>
      </c>
      <c r="O13" s="12">
        <f t="shared" si="5"/>
        <v>4420.2666666666664</v>
      </c>
      <c r="P13" s="12">
        <f t="shared" si="5"/>
        <v>4872.3</v>
      </c>
      <c r="Q13" s="12">
        <f t="shared" si="5"/>
        <v>5324.333333333333</v>
      </c>
      <c r="R13" s="12">
        <f t="shared" si="5"/>
        <v>5776.3666666666668</v>
      </c>
    </row>
    <row r="14" spans="1:18" x14ac:dyDescent="0.25">
      <c r="A14" s="19" t="s">
        <v>73</v>
      </c>
      <c r="B14" s="19"/>
      <c r="C14" s="19"/>
      <c r="D14" s="19"/>
      <c r="E14" s="19"/>
      <c r="H14" s="34">
        <f>H13</f>
        <v>1256.0333333333333</v>
      </c>
      <c r="I14" s="12">
        <f>I13*(1+'Data input'!$D$23/100)^I4</f>
        <v>1725.1473333333333</v>
      </c>
      <c r="J14" s="12">
        <f>J13*(1+'Data input'!$D$23/100)^J4</f>
        <v>2203.5180099999998</v>
      </c>
      <c r="K14" s="12">
        <f>K13*(1+'Data input'!$D$23/100)^K4</f>
        <v>2691.2835854666664</v>
      </c>
      <c r="L14" s="12">
        <f>L13*(1+'Data input'!$D$23/100)^L4</f>
        <v>3188.5841206416671</v>
      </c>
      <c r="M14" s="12">
        <f>M13*(1+'Data input'!$D$23/100)^M4</f>
        <v>3695.5615381616194</v>
      </c>
      <c r="N14" s="12">
        <f>N13*(1+'Data input'!$D$23/100)^N4</f>
        <v>4212.3596456199093</v>
      </c>
      <c r="O14" s="12">
        <f>O13*(1+'Data input'!$D$23/100)^O4</f>
        <v>4739.1241590735453</v>
      </c>
      <c r="P14" s="12">
        <f>P13*(1+'Data input'!$D$23/100)^P4</f>
        <v>5276.0027268316953</v>
      </c>
      <c r="Q14" s="12">
        <f>Q13*(1+'Data input'!$D$23/100)^Q4</f>
        <v>5823.1449535290994</v>
      </c>
      <c r="R14" s="12">
        <f>R13*(1+'Data input'!$D$23/100)^R4</f>
        <v>6380.7024244877693</v>
      </c>
    </row>
    <row r="15" spans="1:18" x14ac:dyDescent="0.25">
      <c r="A15" s="19"/>
      <c r="B15" s="19"/>
      <c r="C15" s="19"/>
      <c r="D15" s="19"/>
      <c r="E15" s="19"/>
      <c r="H15" s="34"/>
      <c r="I15" s="12"/>
      <c r="J15" s="12"/>
      <c r="K15" s="12"/>
      <c r="L15" s="12"/>
      <c r="M15" s="12"/>
    </row>
    <row r="16" spans="1:18" x14ac:dyDescent="0.25">
      <c r="A16" s="66" t="s">
        <v>112</v>
      </c>
      <c r="B16" s="66"/>
      <c r="C16" s="66"/>
      <c r="D16" s="66"/>
      <c r="E16" s="66"/>
      <c r="H16" s="34">
        <f>'Data input'!I34</f>
        <v>6444</v>
      </c>
      <c r="I16" s="12">
        <f>H16 +$O$23</f>
        <v>6384</v>
      </c>
      <c r="J16" s="12">
        <f>I16 +$O$23</f>
        <v>6324</v>
      </c>
      <c r="K16" s="12">
        <f t="shared" ref="K16:R16" si="6">J16 +$O$23</f>
        <v>6264</v>
      </c>
      <c r="L16" s="12">
        <f t="shared" si="6"/>
        <v>6204</v>
      </c>
      <c r="M16" s="12">
        <f t="shared" si="6"/>
        <v>6144</v>
      </c>
      <c r="N16" s="12">
        <f t="shared" si="6"/>
        <v>6084</v>
      </c>
      <c r="O16" s="12">
        <f t="shared" si="6"/>
        <v>6024</v>
      </c>
      <c r="P16" s="12">
        <f t="shared" si="6"/>
        <v>5964</v>
      </c>
      <c r="Q16" s="12">
        <f t="shared" si="6"/>
        <v>5904</v>
      </c>
      <c r="R16" s="12">
        <f t="shared" si="6"/>
        <v>5844</v>
      </c>
    </row>
    <row r="17" spans="1:18" x14ac:dyDescent="0.25">
      <c r="A17" s="66" t="s">
        <v>43</v>
      </c>
      <c r="B17" s="66"/>
      <c r="C17" s="66"/>
      <c r="D17" s="66"/>
      <c r="E17" s="66"/>
      <c r="H17" s="34">
        <f>H13-H16</f>
        <v>-5187.9666666666672</v>
      </c>
      <c r="I17" s="12">
        <f t="shared" ref="I17:R17" si="7">I13-I16</f>
        <v>-4675.9333333333334</v>
      </c>
      <c r="J17" s="12">
        <f t="shared" si="7"/>
        <v>-4163.8999999999996</v>
      </c>
      <c r="K17" s="12">
        <f t="shared" si="7"/>
        <v>-3651.8666666666668</v>
      </c>
      <c r="L17" s="12">
        <f t="shared" si="7"/>
        <v>-3139.833333333333</v>
      </c>
      <c r="M17" s="12">
        <f t="shared" si="7"/>
        <v>-2627.8</v>
      </c>
      <c r="N17" s="12">
        <f t="shared" si="7"/>
        <v>-2115.7666666666664</v>
      </c>
      <c r="O17" s="12">
        <f t="shared" si="7"/>
        <v>-1603.7333333333336</v>
      </c>
      <c r="P17" s="12">
        <f t="shared" si="7"/>
        <v>-1091.6999999999998</v>
      </c>
      <c r="Q17" s="12">
        <f t="shared" si="7"/>
        <v>-579.66666666666697</v>
      </c>
      <c r="R17" s="12">
        <f t="shared" si="7"/>
        <v>-67.633333333333212</v>
      </c>
    </row>
    <row r="18" spans="1:18" x14ac:dyDescent="0.25">
      <c r="A18" s="66" t="s">
        <v>44</v>
      </c>
      <c r="B18" s="66"/>
      <c r="C18" s="66"/>
      <c r="D18" s="66"/>
      <c r="E18" s="66"/>
      <c r="H18" s="34">
        <f>H17/'Data input'!$L$13</f>
        <v>-864.66111111111115</v>
      </c>
      <c r="I18" s="12">
        <f>I17/'Data input'!$L$13</f>
        <v>-779.32222222222219</v>
      </c>
      <c r="J18" s="12">
        <f>J17/'Data input'!$L$13</f>
        <v>-693.98333333333323</v>
      </c>
      <c r="K18" s="12">
        <f>K17/'Data input'!$L$13</f>
        <v>-608.6444444444445</v>
      </c>
      <c r="L18" s="12">
        <f>L17/'Data input'!$L$13</f>
        <v>-523.30555555555554</v>
      </c>
      <c r="M18" s="12">
        <f>M17/'Data input'!$L$13</f>
        <v>-437.9666666666667</v>
      </c>
      <c r="N18" s="12">
        <f>N17/'Data input'!$L$13</f>
        <v>-352.62777777777774</v>
      </c>
      <c r="O18" s="12">
        <f>O17/'Data input'!$L$13</f>
        <v>-267.28888888888895</v>
      </c>
      <c r="P18" s="12">
        <f>P17/'Data input'!$L$13</f>
        <v>-181.94999999999996</v>
      </c>
      <c r="Q18" s="12">
        <f>Q17/'Data input'!$L$13</f>
        <v>-96.611111111111157</v>
      </c>
      <c r="R18" s="12">
        <f>R17/'Data input'!$L$13</f>
        <v>-11.272222222222203</v>
      </c>
    </row>
    <row r="19" spans="1:18" x14ac:dyDescent="0.25">
      <c r="A19" s="19" t="s">
        <v>45</v>
      </c>
      <c r="B19" s="19"/>
      <c r="C19" s="19"/>
      <c r="D19" s="19"/>
      <c r="E19" s="19"/>
      <c r="H19" s="34">
        <f>100*H16/H13</f>
        <v>513.04370903107667</v>
      </c>
      <c r="I19" s="12">
        <f t="shared" ref="I19:R19" si="8">100*I16/I13</f>
        <v>373.7559033605246</v>
      </c>
      <c r="J19" s="12">
        <f t="shared" si="8"/>
        <v>292.76422387852415</v>
      </c>
      <c r="K19" s="12">
        <f t="shared" si="8"/>
        <v>239.80399162880917</v>
      </c>
      <c r="L19" s="12">
        <f t="shared" si="8"/>
        <v>202.46940440576554</v>
      </c>
      <c r="M19" s="12">
        <f t="shared" si="8"/>
        <v>174.73408793583982</v>
      </c>
      <c r="N19" s="12">
        <f t="shared" si="8"/>
        <v>153.3175972515057</v>
      </c>
      <c r="O19" s="12">
        <f t="shared" si="8"/>
        <v>136.28137065637065</v>
      </c>
      <c r="P19" s="12">
        <f t="shared" si="8"/>
        <v>122.4062557724278</v>
      </c>
      <c r="Q19" s="12">
        <f t="shared" si="8"/>
        <v>110.88712201840606</v>
      </c>
      <c r="R19" s="12">
        <f t="shared" si="8"/>
        <v>101.17086288381969</v>
      </c>
    </row>
    <row r="21" spans="1:18" x14ac:dyDescent="0.25">
      <c r="A21" t="s">
        <v>63</v>
      </c>
    </row>
    <row r="22" spans="1:18" ht="15.75" thickBot="1" x14ac:dyDescent="0.3"/>
    <row r="23" spans="1:18" x14ac:dyDescent="0.25">
      <c r="D23" s="4"/>
      <c r="E23" s="4"/>
      <c r="F23" s="64" t="s">
        <v>74</v>
      </c>
      <c r="G23" s="64"/>
      <c r="H23" s="64"/>
      <c r="I23" s="33">
        <f>4*'Data input'!K13*'Data input'!L13</f>
        <v>240</v>
      </c>
      <c r="J23" s="4"/>
      <c r="K23" s="105" t="s">
        <v>47</v>
      </c>
      <c r="L23" s="106"/>
      <c r="M23" s="106"/>
      <c r="N23" s="106"/>
      <c r="O23" s="103">
        <f>I23-I24</f>
        <v>-60</v>
      </c>
    </row>
    <row r="24" spans="1:18" ht="15.75" thickBot="1" x14ac:dyDescent="0.3">
      <c r="A24" s="64" t="s">
        <v>64</v>
      </c>
      <c r="B24" s="64"/>
      <c r="C24" s="64"/>
      <c r="D24" s="64"/>
      <c r="E24" s="64"/>
      <c r="F24" s="64"/>
      <c r="G24" s="64"/>
      <c r="H24" s="64"/>
      <c r="I24" s="23">
        <v>300</v>
      </c>
      <c r="J24" s="17"/>
      <c r="K24" s="107"/>
      <c r="L24" s="108"/>
      <c r="M24" s="108"/>
      <c r="N24" s="108"/>
      <c r="O24" s="104"/>
    </row>
    <row r="25" spans="1:18" x14ac:dyDescent="0.25">
      <c r="B25" s="17"/>
      <c r="C25" s="17"/>
    </row>
    <row r="26" spans="1:18" x14ac:dyDescent="0.25">
      <c r="D26" s="25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0" workbookViewId="0">
      <selection activeCell="F25" sqref="F25"/>
    </sheetView>
  </sheetViews>
  <sheetFormatPr defaultRowHeight="15" x14ac:dyDescent="0.25"/>
  <sheetData>
    <row r="1" spans="1:19" ht="15" customHeight="1" x14ac:dyDescent="0.25">
      <c r="F1" s="78" t="s">
        <v>83</v>
      </c>
      <c r="G1" s="78"/>
      <c r="H1" s="78"/>
      <c r="I1" s="78"/>
      <c r="J1" s="78" t="str">
        <f>'Data input'!H4</f>
        <v>July</v>
      </c>
      <c r="K1" s="78"/>
      <c r="L1" s="78">
        <f>'Data input'!D4</f>
        <v>2017</v>
      </c>
    </row>
    <row r="2" spans="1:19" x14ac:dyDescent="0.25">
      <c r="F2" s="78"/>
      <c r="G2" s="78"/>
      <c r="H2" s="78"/>
      <c r="I2" s="78"/>
      <c r="J2" s="78"/>
      <c r="K2" s="78"/>
      <c r="L2" s="78"/>
    </row>
    <row r="4" spans="1:19" x14ac:dyDescent="0.25">
      <c r="G4" s="81" t="s">
        <v>1</v>
      </c>
      <c r="H4" s="81"/>
      <c r="I4" s="18">
        <v>1</v>
      </c>
      <c r="J4" s="18">
        <v>2</v>
      </c>
      <c r="K4" s="18">
        <v>3</v>
      </c>
      <c r="L4" s="18">
        <v>4</v>
      </c>
      <c r="M4" s="18">
        <f>L4+1</f>
        <v>5</v>
      </c>
      <c r="N4" s="18">
        <f t="shared" ref="N4:R5" si="0">M4+1</f>
        <v>6</v>
      </c>
      <c r="O4" s="18">
        <f t="shared" si="0"/>
        <v>7</v>
      </c>
      <c r="P4" s="18">
        <f t="shared" si="0"/>
        <v>8</v>
      </c>
      <c r="Q4" s="18">
        <f t="shared" si="0"/>
        <v>9</v>
      </c>
      <c r="R4" s="18">
        <f t="shared" si="0"/>
        <v>10</v>
      </c>
      <c r="S4" s="18"/>
    </row>
    <row r="5" spans="1:19" x14ac:dyDescent="0.25">
      <c r="E5" s="18" t="s">
        <v>16</v>
      </c>
      <c r="G5" s="81">
        <f>'Data input'!D4</f>
        <v>2017</v>
      </c>
      <c r="H5" s="81"/>
      <c r="I5" s="18">
        <f>G5+1</f>
        <v>2018</v>
      </c>
      <c r="J5" s="18">
        <f>I5+1</f>
        <v>2019</v>
      </c>
      <c r="K5" s="18">
        <f t="shared" ref="K5:M5" si="1">J5+1</f>
        <v>2020</v>
      </c>
      <c r="L5" s="18">
        <f t="shared" si="1"/>
        <v>2021</v>
      </c>
      <c r="M5" s="18">
        <f t="shared" si="1"/>
        <v>2022</v>
      </c>
      <c r="N5" s="18">
        <f t="shared" si="0"/>
        <v>2023</v>
      </c>
      <c r="O5" s="18">
        <f t="shared" si="0"/>
        <v>2024</v>
      </c>
      <c r="P5" s="18">
        <f t="shared" si="0"/>
        <v>2025</v>
      </c>
      <c r="Q5" s="18">
        <f t="shared" si="0"/>
        <v>2026</v>
      </c>
      <c r="R5" s="18">
        <f t="shared" si="0"/>
        <v>2027</v>
      </c>
      <c r="S5" s="18"/>
    </row>
    <row r="6" spans="1:19" ht="15" customHeight="1" x14ac:dyDescent="0.25">
      <c r="C6" s="65" t="s">
        <v>17</v>
      </c>
      <c r="D6" s="65"/>
      <c r="E6" t="s">
        <v>18</v>
      </c>
      <c r="F6" s="18" t="s">
        <v>19</v>
      </c>
      <c r="G6" s="37" t="s">
        <v>20</v>
      </c>
      <c r="H6" s="83" t="s">
        <v>21</v>
      </c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9" ht="15" customHeight="1" x14ac:dyDescent="0.25">
      <c r="E7" s="18" t="s">
        <v>24</v>
      </c>
      <c r="F7" s="18" t="s">
        <v>25</v>
      </c>
      <c r="G7" s="37" t="s">
        <v>26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9" x14ac:dyDescent="0.25">
      <c r="D8" t="s">
        <v>23</v>
      </c>
      <c r="E8" s="18"/>
      <c r="F8" s="18"/>
      <c r="G8" s="18"/>
      <c r="H8" s="18"/>
      <c r="I8" s="18"/>
      <c r="J8" s="18"/>
      <c r="K8" s="18"/>
      <c r="L8" s="18"/>
      <c r="M8" s="18"/>
    </row>
    <row r="9" spans="1:19" x14ac:dyDescent="0.25">
      <c r="A9" s="65" t="s">
        <v>82</v>
      </c>
      <c r="B9" s="65"/>
      <c r="C9" s="19"/>
      <c r="D9" s="19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64" t="s">
        <v>37</v>
      </c>
      <c r="B10" s="64"/>
      <c r="C10" s="22">
        <v>1140</v>
      </c>
      <c r="D10" t="s">
        <v>29</v>
      </c>
      <c r="E10" s="13">
        <f>C10*'Data input'!D9</f>
        <v>8550</v>
      </c>
      <c r="F10" s="13">
        <v>30</v>
      </c>
      <c r="G10" s="11">
        <v>10</v>
      </c>
      <c r="H10" s="38">
        <f>$E$10*$G$10/$F$10</f>
        <v>2850</v>
      </c>
      <c r="I10" s="12">
        <f>$E$10*($G$10+I4)/$F$10</f>
        <v>3135</v>
      </c>
      <c r="J10" s="12">
        <f t="shared" ref="J10:R10" si="2">$E$10*($G$10+J4)/$F$10</f>
        <v>3420</v>
      </c>
      <c r="K10" s="12">
        <f t="shared" si="2"/>
        <v>3705</v>
      </c>
      <c r="L10" s="12">
        <f t="shared" si="2"/>
        <v>3990</v>
      </c>
      <c r="M10" s="12">
        <f t="shared" si="2"/>
        <v>4275</v>
      </c>
      <c r="N10" s="12">
        <f t="shared" si="2"/>
        <v>4560</v>
      </c>
      <c r="O10" s="12">
        <f t="shared" si="2"/>
        <v>4845</v>
      </c>
      <c r="P10" s="12">
        <f t="shared" si="2"/>
        <v>5130</v>
      </c>
      <c r="Q10" s="12">
        <f t="shared" si="2"/>
        <v>5415</v>
      </c>
      <c r="R10" s="12">
        <f t="shared" si="2"/>
        <v>5700</v>
      </c>
    </row>
    <row r="11" spans="1:19" x14ac:dyDescent="0.25">
      <c r="B11" s="17" t="s">
        <v>32</v>
      </c>
      <c r="C11" s="22">
        <v>1040</v>
      </c>
      <c r="D11" t="s">
        <v>29</v>
      </c>
      <c r="E11" s="13">
        <f>C11*'Data input'!D10</f>
        <v>2080</v>
      </c>
      <c r="F11" s="13">
        <v>25</v>
      </c>
      <c r="G11" s="11">
        <f>10+$G$5-2015</f>
        <v>12</v>
      </c>
      <c r="H11" s="38">
        <f>$E$11*$G$11/$F$11</f>
        <v>998.4</v>
      </c>
      <c r="I11" s="12">
        <f>$E$11*($G$11+I4)/$F$11</f>
        <v>1081.5999999999999</v>
      </c>
      <c r="J11" s="12">
        <f t="shared" ref="J11:R11" si="3">$E$11*($G$11+J4)/$F$11</f>
        <v>1164.8</v>
      </c>
      <c r="K11" s="12">
        <f t="shared" si="3"/>
        <v>1248</v>
      </c>
      <c r="L11" s="12">
        <f t="shared" si="3"/>
        <v>1331.2</v>
      </c>
      <c r="M11" s="12">
        <f t="shared" si="3"/>
        <v>1414.4</v>
      </c>
      <c r="N11" s="12">
        <f t="shared" si="3"/>
        <v>1497.6</v>
      </c>
      <c r="O11" s="12">
        <f t="shared" si="3"/>
        <v>1580.8</v>
      </c>
      <c r="P11" s="12">
        <f t="shared" si="3"/>
        <v>1664</v>
      </c>
      <c r="Q11" s="12">
        <f t="shared" si="3"/>
        <v>1747.2</v>
      </c>
      <c r="R11" s="12">
        <f t="shared" si="3"/>
        <v>1830.4</v>
      </c>
    </row>
    <row r="12" spans="1:19" x14ac:dyDescent="0.25">
      <c r="B12" s="17" t="s">
        <v>38</v>
      </c>
      <c r="C12" s="22">
        <v>1140</v>
      </c>
      <c r="D12" t="s">
        <v>29</v>
      </c>
      <c r="E12" s="13">
        <f>C12*'Data input'!D8</f>
        <v>2280</v>
      </c>
      <c r="F12" s="13">
        <v>8</v>
      </c>
      <c r="G12" s="11">
        <v>1</v>
      </c>
      <c r="H12" s="38">
        <f>$E$12*$G$12/$F$12</f>
        <v>285</v>
      </c>
      <c r="I12" s="12">
        <f>$E$12*(1+I4)/$F$12</f>
        <v>570</v>
      </c>
      <c r="J12" s="12">
        <f t="shared" ref="J12:R12" si="4">$E$12*(1+J4)/$F$12</f>
        <v>855</v>
      </c>
      <c r="K12" s="12">
        <f t="shared" si="4"/>
        <v>1140</v>
      </c>
      <c r="L12" s="12">
        <f t="shared" si="4"/>
        <v>1425</v>
      </c>
      <c r="M12" s="12">
        <f t="shared" si="4"/>
        <v>1710</v>
      </c>
      <c r="N12" s="12">
        <f t="shared" si="4"/>
        <v>1995</v>
      </c>
      <c r="O12" s="12">
        <f t="shared" si="4"/>
        <v>2280</v>
      </c>
      <c r="P12" s="12">
        <f t="shared" si="4"/>
        <v>2565</v>
      </c>
      <c r="Q12" s="12">
        <f t="shared" si="4"/>
        <v>2850</v>
      </c>
      <c r="R12" s="12">
        <f t="shared" si="4"/>
        <v>3135</v>
      </c>
    </row>
    <row r="13" spans="1:19" x14ac:dyDescent="0.25">
      <c r="B13" s="17" t="s">
        <v>5</v>
      </c>
      <c r="C13" s="22">
        <v>100</v>
      </c>
      <c r="D13" t="s">
        <v>59</v>
      </c>
      <c r="E13" s="13">
        <f>C13*'Data input'!D11</f>
        <v>500</v>
      </c>
      <c r="F13" s="13">
        <v>25</v>
      </c>
      <c r="G13" s="11">
        <f>15+$G$5-2015</f>
        <v>17</v>
      </c>
      <c r="H13" s="38">
        <f>$E$13*$G$13/$F$13</f>
        <v>340</v>
      </c>
      <c r="I13" s="12">
        <f>$E$13*($G$13+I4)/$F$13</f>
        <v>360</v>
      </c>
      <c r="J13" s="12">
        <f t="shared" ref="J13:R13" si="5">$E$13*($G$13+J4)/$F$13</f>
        <v>380</v>
      </c>
      <c r="K13" s="12">
        <f t="shared" si="5"/>
        <v>400</v>
      </c>
      <c r="L13" s="12">
        <f t="shared" si="5"/>
        <v>420</v>
      </c>
      <c r="M13" s="12">
        <f t="shared" si="5"/>
        <v>440</v>
      </c>
      <c r="N13" s="12">
        <f t="shared" si="5"/>
        <v>460</v>
      </c>
      <c r="O13" s="12">
        <f t="shared" si="5"/>
        <v>480</v>
      </c>
      <c r="P13" s="12">
        <f t="shared" si="5"/>
        <v>500</v>
      </c>
      <c r="Q13" s="12">
        <f t="shared" si="5"/>
        <v>520</v>
      </c>
      <c r="R13" s="12">
        <f t="shared" si="5"/>
        <v>540</v>
      </c>
    </row>
    <row r="14" spans="1:19" x14ac:dyDescent="0.25">
      <c r="B14" s="17" t="s">
        <v>35</v>
      </c>
      <c r="E14" s="13">
        <v>1000</v>
      </c>
      <c r="F14" s="13">
        <v>40</v>
      </c>
      <c r="G14" s="11">
        <v>2</v>
      </c>
      <c r="H14" s="38">
        <v>0</v>
      </c>
      <c r="I14" s="12">
        <f>$E$14*($G$14+I4)/$F$14</f>
        <v>75</v>
      </c>
      <c r="J14" s="12">
        <f t="shared" ref="J14:R14" si="6">$E$14*($G$14+J4)/$F$14</f>
        <v>100</v>
      </c>
      <c r="K14" s="12">
        <f t="shared" si="6"/>
        <v>125</v>
      </c>
      <c r="L14" s="12">
        <f t="shared" si="6"/>
        <v>150</v>
      </c>
      <c r="M14" s="12">
        <f t="shared" si="6"/>
        <v>175</v>
      </c>
      <c r="N14" s="12">
        <f t="shared" si="6"/>
        <v>200</v>
      </c>
      <c r="O14" s="12">
        <f t="shared" si="6"/>
        <v>225</v>
      </c>
      <c r="P14" s="12">
        <f t="shared" si="6"/>
        <v>250</v>
      </c>
      <c r="Q14" s="12">
        <f t="shared" si="6"/>
        <v>275</v>
      </c>
      <c r="R14" s="12">
        <f t="shared" si="6"/>
        <v>300</v>
      </c>
    </row>
    <row r="15" spans="1:19" x14ac:dyDescent="0.25">
      <c r="B15" s="17"/>
      <c r="E15" s="13"/>
      <c r="F15" s="13"/>
      <c r="G15" s="11"/>
      <c r="H15" s="38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x14ac:dyDescent="0.25">
      <c r="A16" s="64" t="s">
        <v>72</v>
      </c>
      <c r="B16" s="64"/>
      <c r="C16" s="18">
        <v>4185</v>
      </c>
      <c r="D16" t="s">
        <v>29</v>
      </c>
      <c r="E16" s="13">
        <f>C16*'Data input'!D13</f>
        <v>6068.25</v>
      </c>
      <c r="F16" s="13">
        <v>20</v>
      </c>
      <c r="G16" s="11">
        <v>5</v>
      </c>
      <c r="H16" s="38">
        <f>$E$16*$G$16/$F$16</f>
        <v>1517.0625</v>
      </c>
      <c r="I16" s="12">
        <f t="shared" ref="I16:R16" si="7">$E$16*($G$16+I4)/$F$16</f>
        <v>1820.4749999999999</v>
      </c>
      <c r="J16" s="12">
        <f t="shared" si="7"/>
        <v>2123.8874999999998</v>
      </c>
      <c r="K16" s="12">
        <f t="shared" si="7"/>
        <v>2427.3000000000002</v>
      </c>
      <c r="L16" s="12">
        <f t="shared" si="7"/>
        <v>2730.7125000000001</v>
      </c>
      <c r="M16" s="12">
        <f t="shared" si="7"/>
        <v>3034.125</v>
      </c>
      <c r="N16" s="12">
        <f t="shared" si="7"/>
        <v>3337.5374999999999</v>
      </c>
      <c r="O16" s="12">
        <f t="shared" si="7"/>
        <v>3640.95</v>
      </c>
      <c r="P16" s="12">
        <f t="shared" si="7"/>
        <v>3944.3625000000002</v>
      </c>
      <c r="Q16" s="12">
        <f t="shared" si="7"/>
        <v>4247.7749999999996</v>
      </c>
      <c r="R16" s="12">
        <f t="shared" si="7"/>
        <v>4551.1875</v>
      </c>
      <c r="S16" s="12"/>
    </row>
    <row r="17" spans="1:19" x14ac:dyDescent="0.25">
      <c r="A17" s="64" t="s">
        <v>60</v>
      </c>
      <c r="B17" s="64"/>
      <c r="C17" s="18">
        <v>75</v>
      </c>
      <c r="D17" t="s">
        <v>59</v>
      </c>
      <c r="E17" s="13">
        <f>C17*'Data input'!D12</f>
        <v>1050</v>
      </c>
      <c r="F17" s="13">
        <v>30</v>
      </c>
      <c r="G17" s="11">
        <v>1</v>
      </c>
      <c r="H17" s="38">
        <f>$E$17*$G$17/$F$17</f>
        <v>35</v>
      </c>
      <c r="I17" s="12">
        <f t="shared" ref="I17:R17" si="8">$E$17*($G$17+I4)/$F$17</f>
        <v>70</v>
      </c>
      <c r="J17" s="12">
        <f t="shared" si="8"/>
        <v>105</v>
      </c>
      <c r="K17" s="12">
        <f t="shared" si="8"/>
        <v>140</v>
      </c>
      <c r="L17" s="12">
        <f t="shared" si="8"/>
        <v>175</v>
      </c>
      <c r="M17" s="12">
        <f t="shared" si="8"/>
        <v>210</v>
      </c>
      <c r="N17" s="12">
        <f t="shared" si="8"/>
        <v>245</v>
      </c>
      <c r="O17" s="12">
        <f t="shared" si="8"/>
        <v>280</v>
      </c>
      <c r="P17" s="12">
        <f t="shared" si="8"/>
        <v>315</v>
      </c>
      <c r="Q17" s="12">
        <f t="shared" si="8"/>
        <v>350</v>
      </c>
      <c r="R17" s="12">
        <f t="shared" si="8"/>
        <v>385</v>
      </c>
      <c r="S17" s="12"/>
    </row>
    <row r="18" spans="1:19" x14ac:dyDescent="0.25">
      <c r="A18" s="64" t="s">
        <v>61</v>
      </c>
      <c r="B18" s="64"/>
      <c r="C18" s="18">
        <v>3</v>
      </c>
      <c r="D18" t="s">
        <v>71</v>
      </c>
      <c r="E18" s="13">
        <f>C18*'Data input'!D19</f>
        <v>360</v>
      </c>
      <c r="F18" s="13">
        <v>15</v>
      </c>
      <c r="G18" s="11">
        <v>1</v>
      </c>
      <c r="H18" s="38">
        <f>$E18*$G$18/$F$18</f>
        <v>24</v>
      </c>
      <c r="I18" s="12">
        <f t="shared" ref="I18:R18" si="9">$E18*($G$18+I4)/$F$18</f>
        <v>48</v>
      </c>
      <c r="J18" s="12">
        <f t="shared" si="9"/>
        <v>72</v>
      </c>
      <c r="K18" s="12">
        <f t="shared" si="9"/>
        <v>96</v>
      </c>
      <c r="L18" s="12">
        <f t="shared" si="9"/>
        <v>120</v>
      </c>
      <c r="M18" s="12">
        <f t="shared" si="9"/>
        <v>144</v>
      </c>
      <c r="N18" s="12">
        <f t="shared" si="9"/>
        <v>168</v>
      </c>
      <c r="O18" s="12">
        <f t="shared" si="9"/>
        <v>192</v>
      </c>
      <c r="P18" s="12">
        <f t="shared" si="9"/>
        <v>216</v>
      </c>
      <c r="Q18" s="12">
        <f t="shared" si="9"/>
        <v>240</v>
      </c>
      <c r="R18" s="12">
        <f t="shared" si="9"/>
        <v>264</v>
      </c>
      <c r="S18" s="12"/>
    </row>
    <row r="19" spans="1:19" x14ac:dyDescent="0.25">
      <c r="H19" s="38"/>
      <c r="I19" s="12"/>
      <c r="J19" s="12"/>
      <c r="K19" s="12"/>
      <c r="L19" s="12"/>
    </row>
    <row r="20" spans="1:19" x14ac:dyDescent="0.25">
      <c r="A20" s="66" t="s">
        <v>41</v>
      </c>
      <c r="B20" s="66"/>
      <c r="C20" s="66"/>
      <c r="D20" s="66"/>
      <c r="E20" s="66"/>
      <c r="H20" s="38">
        <f>SUM(H9:H17)</f>
        <v>6025.4624999999996</v>
      </c>
      <c r="I20" s="12">
        <f t="shared" ref="I20:R20" si="10">SUM(I9:I17)</f>
        <v>7112.0750000000007</v>
      </c>
      <c r="J20" s="12">
        <f t="shared" si="10"/>
        <v>8148.6875</v>
      </c>
      <c r="K20" s="12">
        <f t="shared" si="10"/>
        <v>9185.2999999999993</v>
      </c>
      <c r="L20" s="12">
        <f t="shared" si="10"/>
        <v>10221.9125</v>
      </c>
      <c r="M20" s="12">
        <f t="shared" si="10"/>
        <v>11258.525</v>
      </c>
      <c r="N20" s="12">
        <f t="shared" si="10"/>
        <v>12295.137500000001</v>
      </c>
      <c r="O20" s="12">
        <f t="shared" si="10"/>
        <v>13331.75</v>
      </c>
      <c r="P20" s="12">
        <f t="shared" si="10"/>
        <v>14368.362499999999</v>
      </c>
      <c r="Q20" s="12">
        <f t="shared" si="10"/>
        <v>15404.975</v>
      </c>
      <c r="R20" s="12">
        <f t="shared" si="10"/>
        <v>16441.587500000001</v>
      </c>
      <c r="S20" s="12"/>
    </row>
    <row r="21" spans="1:19" x14ac:dyDescent="0.25">
      <c r="A21" t="s">
        <v>62</v>
      </c>
      <c r="H21" s="38">
        <f>SUM(H9:H18)</f>
        <v>6049.4624999999996</v>
      </c>
      <c r="I21" s="12">
        <f>I20*(1+'Data input'!$D$23/100)^I4</f>
        <v>7183.1957500000008</v>
      </c>
      <c r="J21" s="12">
        <f>J20*(1+'Data input'!$D$23/100)^J4</f>
        <v>8312.4761187500008</v>
      </c>
      <c r="K21" s="12">
        <f>K20*(1+'Data input'!$D$23/100)^K4</f>
        <v>9463.6237752999987</v>
      </c>
      <c r="L21" s="12">
        <f>L20*(1+'Data input'!$D$23/100)^L4</f>
        <v>10636.963137369126</v>
      </c>
      <c r="M21" s="12">
        <f>M20*(1+'Data input'!$D$23/100)^M4</f>
        <v>11832.822924302101</v>
      </c>
      <c r="N21" s="12">
        <f>N20*(1+'Data input'!$D$23/100)^N4</f>
        <v>13051.536210660006</v>
      </c>
      <c r="O21" s="12">
        <f>O20*(1+'Data input'!$D$23/100)^O4</f>
        <v>14293.440480452628</v>
      </c>
      <c r="P21" s="12">
        <f>P20*(1+'Data input'!$D$23/100)^P4</f>
        <v>15558.877682020046</v>
      </c>
      <c r="Q21" s="12">
        <f>Q20*(1+'Data input'!$D$23/100)^Q4</f>
        <v>16848.194283570767</v>
      </c>
      <c r="R21" s="12">
        <f>R20*(1+'Data input'!$D$23/100)^R4</f>
        <v>18161.741329384298</v>
      </c>
    </row>
    <row r="22" spans="1:19" x14ac:dyDescent="0.25">
      <c r="A22" s="19"/>
      <c r="B22" s="19"/>
      <c r="C22" s="19"/>
      <c r="D22" s="19"/>
      <c r="E22" s="19"/>
      <c r="H22" s="4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66" t="s">
        <v>112</v>
      </c>
      <c r="B23" s="66"/>
      <c r="C23" s="66"/>
      <c r="D23" s="66"/>
      <c r="E23" s="66"/>
      <c r="G23" s="12"/>
      <c r="H23" s="38">
        <f>'Data input'!I35</f>
        <v>3195</v>
      </c>
      <c r="I23" s="12">
        <f>H23+$P$28 -'Data input'!H23</f>
        <v>4041</v>
      </c>
      <c r="J23" s="12">
        <f>I23+$P$28</f>
        <v>5037</v>
      </c>
      <c r="K23" s="12">
        <f t="shared" ref="K23:R23" si="11">J23+$P$28</f>
        <v>6033</v>
      </c>
      <c r="L23" s="12">
        <f t="shared" si="11"/>
        <v>7029</v>
      </c>
      <c r="M23" s="12">
        <f t="shared" si="11"/>
        <v>8025</v>
      </c>
      <c r="N23" s="12">
        <f t="shared" si="11"/>
        <v>9021</v>
      </c>
      <c r="O23" s="12">
        <f t="shared" si="11"/>
        <v>10017</v>
      </c>
      <c r="P23" s="12">
        <f t="shared" si="11"/>
        <v>11013</v>
      </c>
      <c r="Q23" s="12">
        <f t="shared" si="11"/>
        <v>12009</v>
      </c>
      <c r="R23" s="12">
        <f t="shared" si="11"/>
        <v>13005</v>
      </c>
      <c r="S23" s="12"/>
    </row>
    <row r="24" spans="1:19" x14ac:dyDescent="0.25">
      <c r="A24" s="66" t="s">
        <v>43</v>
      </c>
      <c r="B24" s="66"/>
      <c r="C24" s="66"/>
      <c r="D24" s="66"/>
      <c r="E24" s="66"/>
      <c r="H24" s="38">
        <f>H21-H23</f>
        <v>2854.4624999999996</v>
      </c>
      <c r="I24" s="12">
        <f t="shared" ref="I24:R24" si="12">I21-I23</f>
        <v>3142.1957500000008</v>
      </c>
      <c r="J24" s="12">
        <f t="shared" si="12"/>
        <v>3275.4761187500008</v>
      </c>
      <c r="K24" s="12">
        <f t="shared" si="12"/>
        <v>3430.6237752999987</v>
      </c>
      <c r="L24" s="12">
        <f t="shared" si="12"/>
        <v>3607.9631373691263</v>
      </c>
      <c r="M24" s="12">
        <f t="shared" si="12"/>
        <v>3807.8229243021015</v>
      </c>
      <c r="N24" s="12">
        <f t="shared" si="12"/>
        <v>4030.536210660006</v>
      </c>
      <c r="O24" s="12">
        <f t="shared" si="12"/>
        <v>4276.4404804526275</v>
      </c>
      <c r="P24" s="12">
        <f t="shared" si="12"/>
        <v>4545.8776820200455</v>
      </c>
      <c r="Q24" s="12">
        <f t="shared" si="12"/>
        <v>4839.1942835707669</v>
      </c>
      <c r="R24" s="12">
        <f t="shared" si="12"/>
        <v>5156.7413293842983</v>
      </c>
      <c r="S24" s="12"/>
    </row>
    <row r="25" spans="1:19" x14ac:dyDescent="0.25">
      <c r="A25" s="66" t="s">
        <v>44</v>
      </c>
      <c r="B25" s="66"/>
      <c r="C25" s="66"/>
      <c r="D25" s="66"/>
      <c r="E25" s="66"/>
      <c r="H25" s="38">
        <f>H24/'Data input'!$L$14</f>
        <v>951.48749999999984</v>
      </c>
      <c r="I25" s="12">
        <f>I24/'Data input'!$L$14</f>
        <v>1047.3985833333336</v>
      </c>
      <c r="J25" s="12">
        <f>J24/'Data input'!$L$14</f>
        <v>1091.825372916667</v>
      </c>
      <c r="K25" s="12">
        <f>K24/'Data input'!$L$14</f>
        <v>1143.5412584333328</v>
      </c>
      <c r="L25" s="12">
        <f>L24/'Data input'!$L$14</f>
        <v>1202.6543791230422</v>
      </c>
      <c r="M25" s="12">
        <f>M24/'Data input'!$L$14</f>
        <v>1269.2743081007004</v>
      </c>
      <c r="N25" s="12">
        <f>N24/'Data input'!$L$14</f>
        <v>1343.512070220002</v>
      </c>
      <c r="O25" s="12">
        <f>O24/'Data input'!$L$14</f>
        <v>1425.4801601508759</v>
      </c>
      <c r="P25" s="12">
        <f>P24/'Data input'!$L$14</f>
        <v>1515.2925606733486</v>
      </c>
      <c r="Q25" s="12">
        <f>Q24/'Data input'!$L$14</f>
        <v>1613.0647611902557</v>
      </c>
      <c r="R25" s="12">
        <f>R24/'Data input'!$L$14</f>
        <v>1718.9137764614327</v>
      </c>
      <c r="S25" s="12"/>
    </row>
    <row r="26" spans="1:19" x14ac:dyDescent="0.25">
      <c r="A26" s="19" t="s">
        <v>45</v>
      </c>
      <c r="B26" s="19"/>
      <c r="C26" s="19"/>
      <c r="D26" s="19"/>
      <c r="E26" s="19"/>
      <c r="H26" s="38">
        <f>100*H23/H21</f>
        <v>52.814609562419804</v>
      </c>
      <c r="I26" s="12">
        <f t="shared" ref="I26:R26" si="13">100*I23/I21</f>
        <v>56.25629790194705</v>
      </c>
      <c r="J26" s="12">
        <f t="shared" si="13"/>
        <v>60.595662809043297</v>
      </c>
      <c r="K26" s="12">
        <f t="shared" si="13"/>
        <v>63.749364337011095</v>
      </c>
      <c r="L26" s="12">
        <f t="shared" si="13"/>
        <v>66.080890844738832</v>
      </c>
      <c r="M26" s="12">
        <f t="shared" si="13"/>
        <v>67.819826691721687</v>
      </c>
      <c r="N26" s="12">
        <f t="shared" si="13"/>
        <v>69.11830036246603</v>
      </c>
      <c r="O26" s="12">
        <f t="shared" si="13"/>
        <v>70.081097785372336</v>
      </c>
      <c r="P26" s="12">
        <f t="shared" si="13"/>
        <v>70.782740407598325</v>
      </c>
      <c r="Q26" s="12">
        <f t="shared" si="13"/>
        <v>71.277668086427369</v>
      </c>
      <c r="R26" s="12">
        <f t="shared" si="13"/>
        <v>71.60656989954434</v>
      </c>
      <c r="S26" s="12"/>
    </row>
    <row r="27" spans="1:19" ht="15.75" thickBot="1" x14ac:dyDescent="0.3"/>
    <row r="28" spans="1:19" x14ac:dyDescent="0.25">
      <c r="B28" s="4"/>
      <c r="C28" s="4"/>
      <c r="D28" s="4"/>
      <c r="E28" s="64" t="s">
        <v>84</v>
      </c>
      <c r="F28" s="64"/>
      <c r="G28" s="64"/>
      <c r="H28" s="18">
        <f>4*('Data input'!K14*'Data input'!L14+'Data input'!K15 -'Data input'!K16)</f>
        <v>1096</v>
      </c>
      <c r="L28" s="99" t="s">
        <v>85</v>
      </c>
      <c r="M28" s="100"/>
      <c r="N28" s="100"/>
      <c r="O28" s="100"/>
      <c r="P28" s="103">
        <f>H28-H29</f>
        <v>996</v>
      </c>
    </row>
    <row r="29" spans="1:19" ht="15.75" thickBot="1" x14ac:dyDescent="0.3">
      <c r="B29" s="64" t="s">
        <v>80</v>
      </c>
      <c r="C29" s="64"/>
      <c r="D29" s="64"/>
      <c r="E29" s="64"/>
      <c r="F29" s="64"/>
      <c r="G29" s="64"/>
      <c r="H29" s="23">
        <v>100</v>
      </c>
      <c r="L29" s="101"/>
      <c r="M29" s="102"/>
      <c r="N29" s="102"/>
      <c r="O29" s="102"/>
      <c r="P29" s="104"/>
    </row>
    <row r="30" spans="1:19" x14ac:dyDescent="0.25">
      <c r="B30" s="4"/>
      <c r="C30" s="4"/>
      <c r="D30" s="4"/>
      <c r="E30" s="4"/>
      <c r="F30" s="14"/>
      <c r="G30" s="4"/>
      <c r="H30" s="4"/>
      <c r="I30" s="4"/>
      <c r="J30" s="4"/>
      <c r="K30" s="15"/>
      <c r="L30" s="4"/>
      <c r="M30" s="4"/>
      <c r="N30" s="4"/>
      <c r="O30" s="4"/>
      <c r="P30" s="11"/>
    </row>
    <row r="31" spans="1:19" x14ac:dyDescent="0.25">
      <c r="B31" s="4"/>
      <c r="C31" s="4"/>
      <c r="D31" s="4"/>
      <c r="E31" s="4"/>
      <c r="H31" s="18"/>
      <c r="I31" s="4"/>
      <c r="J31" s="4"/>
      <c r="K31" s="11"/>
      <c r="M31" s="4"/>
      <c r="N31" s="4"/>
      <c r="O31" s="4"/>
      <c r="P31" s="11"/>
    </row>
    <row r="32" spans="1:19" x14ac:dyDescent="0.25">
      <c r="B32" s="17"/>
      <c r="C32" s="17"/>
      <c r="D32" s="17"/>
      <c r="E32" s="17"/>
      <c r="F32" s="64"/>
      <c r="G32" s="64"/>
      <c r="H32" s="18"/>
      <c r="I32" s="17"/>
      <c r="J32" s="17"/>
      <c r="K32" s="11"/>
    </row>
    <row r="33" spans="1:12" x14ac:dyDescent="0.25">
      <c r="B33" s="20"/>
      <c r="C33" s="20"/>
      <c r="D33" s="20"/>
      <c r="E33" s="4"/>
      <c r="F33" s="4"/>
      <c r="G33" s="4"/>
      <c r="H33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8" spans="1:12" x14ac:dyDescent="0.25">
      <c r="E38" s="17"/>
    </row>
    <row r="39" spans="1:12" x14ac:dyDescent="0.25">
      <c r="E39" s="11"/>
    </row>
    <row r="40" spans="1:12" x14ac:dyDescent="0.25">
      <c r="E40" s="11"/>
    </row>
  </sheetData>
  <mergeCells count="21">
    <mergeCell ref="L28:O29"/>
    <mergeCell ref="P28:P29"/>
    <mergeCell ref="F32:G32"/>
    <mergeCell ref="F1:I2"/>
    <mergeCell ref="J1:K2"/>
    <mergeCell ref="L1:L2"/>
    <mergeCell ref="H6:R7"/>
    <mergeCell ref="G4:H4"/>
    <mergeCell ref="A25:E25"/>
    <mergeCell ref="E28:G28"/>
    <mergeCell ref="B29:G29"/>
    <mergeCell ref="G5:H5"/>
    <mergeCell ref="A9:B9"/>
    <mergeCell ref="A20:E20"/>
    <mergeCell ref="A23:E23"/>
    <mergeCell ref="C6:D6"/>
    <mergeCell ref="A10:B10"/>
    <mergeCell ref="A16:B16"/>
    <mergeCell ref="A17:B17"/>
    <mergeCell ref="A18:B18"/>
    <mergeCell ref="A24:E2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Walter Orchard</cp:lastModifiedBy>
  <cp:lastPrinted>2015-11-15T15:38:36Z</cp:lastPrinted>
  <dcterms:created xsi:type="dcterms:W3CDTF">2015-06-27T04:48:11Z</dcterms:created>
  <dcterms:modified xsi:type="dcterms:W3CDTF">2017-07-30T23:56:18Z</dcterms:modified>
</cp:coreProperties>
</file>